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42C9B164-CDB4-435C-835D-386F918CB1D0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SAŽETAK" sheetId="1" r:id="rId1"/>
    <sheet name=" Račun prihoda i rashoda" sheetId="3" r:id="rId2"/>
    <sheet name="Račun financiranja" sheetId="6" r:id="rId3"/>
    <sheet name="Rashodi prema funkcijskoj kl" sheetId="5" r:id="rId4"/>
    <sheet name="POSEBNI DIO" sheetId="7" r:id="rId5"/>
  </sheets>
  <definedNames>
    <definedName name="_xlnm.Print_Area" localSheetId="4">'POSEBNI DIO'!$A$1:$I$375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3" i="3" l="1"/>
  <c r="H46" i="3"/>
  <c r="H44" i="3"/>
  <c r="H40" i="3"/>
  <c r="H37" i="3"/>
  <c r="I11" i="6"/>
  <c r="I13" i="6"/>
  <c r="I12" i="6"/>
  <c r="G11" i="6"/>
  <c r="H153" i="7"/>
  <c r="H152" i="7"/>
  <c r="H151" i="7"/>
  <c r="J22" i="1" l="1"/>
  <c r="J21" i="1"/>
  <c r="I11" i="3"/>
  <c r="I12" i="3"/>
  <c r="I13" i="3"/>
  <c r="I15" i="3"/>
  <c r="I16" i="3"/>
  <c r="I17" i="3"/>
  <c r="H52" i="3"/>
  <c r="I52" i="3" l="1"/>
  <c r="H45" i="3"/>
  <c r="I45" i="3" s="1"/>
  <c r="H42" i="3"/>
  <c r="I42" i="3" s="1"/>
  <c r="H38" i="3"/>
  <c r="H36" i="3"/>
  <c r="I36" i="3" s="1"/>
  <c r="H33" i="3"/>
  <c r="I33" i="3" s="1"/>
  <c r="H31" i="3"/>
  <c r="I31" i="3" s="1"/>
  <c r="I38" i="3"/>
  <c r="I54" i="3"/>
  <c r="I53" i="3"/>
  <c r="G52" i="3"/>
  <c r="G45" i="3"/>
  <c r="G42" i="3"/>
  <c r="G33" i="3"/>
  <c r="G38" i="3"/>
  <c r="G36" i="3"/>
  <c r="G31" i="3"/>
  <c r="F13" i="5"/>
  <c r="F14" i="5"/>
  <c r="F15" i="5"/>
  <c r="F17" i="5"/>
  <c r="F18" i="5"/>
  <c r="F21" i="5"/>
  <c r="F22" i="5"/>
  <c r="F23" i="5"/>
  <c r="F24" i="5"/>
  <c r="F25" i="5"/>
  <c r="F26" i="5"/>
  <c r="F27" i="5"/>
  <c r="F31" i="5"/>
  <c r="F32" i="5"/>
  <c r="F34" i="5"/>
  <c r="F35" i="5"/>
  <c r="F36" i="5"/>
  <c r="F39" i="5"/>
  <c r="E40" i="5"/>
  <c r="F40" i="5" s="1"/>
  <c r="E39" i="5"/>
  <c r="E38" i="5"/>
  <c r="F38" i="5" s="1"/>
  <c r="E36" i="5"/>
  <c r="E35" i="5"/>
  <c r="E34" i="5"/>
  <c r="E32" i="5"/>
  <c r="E31" i="5"/>
  <c r="E30" i="5"/>
  <c r="F30" i="5" s="1"/>
  <c r="E29" i="5"/>
  <c r="F29" i="5" s="1"/>
  <c r="E27" i="5"/>
  <c r="E26" i="5"/>
  <c r="E25" i="5"/>
  <c r="E23" i="5"/>
  <c r="E22" i="5"/>
  <c r="E20" i="5"/>
  <c r="F20" i="5" s="1"/>
  <c r="E19" i="5"/>
  <c r="F19" i="5" s="1"/>
  <c r="E18" i="5"/>
  <c r="E17" i="5"/>
  <c r="E15" i="5"/>
  <c r="E14" i="5"/>
  <c r="E12" i="5"/>
  <c r="E11" i="5" s="1"/>
  <c r="F11" i="5" s="1"/>
  <c r="H337" i="7"/>
  <c r="I337" i="7" s="1"/>
  <c r="I8" i="7"/>
  <c r="I9" i="7"/>
  <c r="I14" i="7"/>
  <c r="I15" i="7"/>
  <c r="I16" i="7"/>
  <c r="I17" i="7"/>
  <c r="I20" i="7"/>
  <c r="I24" i="7"/>
  <c r="I29" i="7"/>
  <c r="I30" i="7"/>
  <c r="I33" i="7"/>
  <c r="I34" i="7"/>
  <c r="I35" i="7"/>
  <c r="I36" i="7"/>
  <c r="I37" i="7"/>
  <c r="I38" i="7"/>
  <c r="I39" i="7"/>
  <c r="I40" i="7"/>
  <c r="I41" i="7"/>
  <c r="I45" i="7"/>
  <c r="I49" i="7"/>
  <c r="I50" i="7"/>
  <c r="I51" i="7"/>
  <c r="I52" i="7"/>
  <c r="I54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7" i="7"/>
  <c r="I78" i="7"/>
  <c r="I79" i="7"/>
  <c r="I80" i="7"/>
  <c r="I81" i="7"/>
  <c r="I82" i="7"/>
  <c r="I83" i="7"/>
  <c r="I84" i="7"/>
  <c r="I85" i="7"/>
  <c r="I86" i="7"/>
  <c r="I87" i="7"/>
  <c r="I89" i="7"/>
  <c r="I90" i="7"/>
  <c r="I91" i="7"/>
  <c r="I92" i="7"/>
  <c r="I93" i="7"/>
  <c r="I94" i="7"/>
  <c r="I95" i="7"/>
  <c r="I96" i="7"/>
  <c r="I97" i="7"/>
  <c r="I98" i="7"/>
  <c r="I101" i="7"/>
  <c r="I102" i="7"/>
  <c r="I103" i="7"/>
  <c r="I104" i="7"/>
  <c r="I105" i="7"/>
  <c r="I106" i="7"/>
  <c r="I107" i="7"/>
  <c r="I108" i="7"/>
  <c r="I109" i="7"/>
  <c r="I110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3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63" i="7"/>
  <c r="I264" i="7"/>
  <c r="I265" i="7"/>
  <c r="I266" i="7"/>
  <c r="I267" i="7"/>
  <c r="I268" i="7"/>
  <c r="I269" i="7"/>
  <c r="I270" i="7"/>
  <c r="I271" i="7"/>
  <c r="I272" i="7"/>
  <c r="I273" i="7"/>
  <c r="I274" i="7"/>
  <c r="I275" i="7"/>
  <c r="I276" i="7"/>
  <c r="I277" i="7"/>
  <c r="I278" i="7"/>
  <c r="I279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I293" i="7"/>
  <c r="I294" i="7"/>
  <c r="I295" i="7"/>
  <c r="I296" i="7"/>
  <c r="I297" i="7"/>
  <c r="I298" i="7"/>
  <c r="I299" i="7"/>
  <c r="I301" i="7"/>
  <c r="I302" i="7"/>
  <c r="I303" i="7"/>
  <c r="I304" i="7"/>
  <c r="I305" i="7"/>
  <c r="I306" i="7"/>
  <c r="I307" i="7"/>
  <c r="I308" i="7"/>
  <c r="I309" i="7"/>
  <c r="I312" i="7"/>
  <c r="I313" i="7"/>
  <c r="I314" i="7"/>
  <c r="I315" i="7"/>
  <c r="I316" i="7"/>
  <c r="I317" i="7"/>
  <c r="I318" i="7"/>
  <c r="I319" i="7"/>
  <c r="I320" i="7"/>
  <c r="I321" i="7"/>
  <c r="I322" i="7"/>
  <c r="I323" i="7"/>
  <c r="I324" i="7"/>
  <c r="I325" i="7"/>
  <c r="I326" i="7"/>
  <c r="I327" i="7"/>
  <c r="I328" i="7"/>
  <c r="I329" i="7"/>
  <c r="I330" i="7"/>
  <c r="I331" i="7"/>
  <c r="I332" i="7"/>
  <c r="I333" i="7"/>
  <c r="I334" i="7"/>
  <c r="I335" i="7"/>
  <c r="I336" i="7"/>
  <c r="I340" i="7"/>
  <c r="I341" i="7"/>
  <c r="I342" i="7"/>
  <c r="I343" i="7"/>
  <c r="I345" i="7"/>
  <c r="I346" i="7"/>
  <c r="I347" i="7"/>
  <c r="I348" i="7"/>
  <c r="I349" i="7"/>
  <c r="I353" i="7"/>
  <c r="I354" i="7"/>
  <c r="I355" i="7"/>
  <c r="I356" i="7"/>
  <c r="I357" i="7"/>
  <c r="I358" i="7"/>
  <c r="I359" i="7"/>
  <c r="I360" i="7"/>
  <c r="I361" i="7"/>
  <c r="I364" i="7"/>
  <c r="I365" i="7"/>
  <c r="I366" i="7"/>
  <c r="I367" i="7"/>
  <c r="H344" i="7"/>
  <c r="I344" i="7" s="1"/>
  <c r="H365" i="7"/>
  <c r="H366" i="7" s="1"/>
  <c r="H367" i="7" s="1"/>
  <c r="H361" i="7"/>
  <c r="H354" i="7"/>
  <c r="H355" i="7" s="1"/>
  <c r="H356" i="7" s="1"/>
  <c r="H353" i="7"/>
  <c r="H350" i="7"/>
  <c r="H347" i="7"/>
  <c r="H348" i="7" s="1"/>
  <c r="H346" i="7"/>
  <c r="H341" i="7"/>
  <c r="H342" i="7" s="1"/>
  <c r="H343" i="7" s="1"/>
  <c r="H335" i="7"/>
  <c r="H333" i="7"/>
  <c r="H334" i="7" s="1"/>
  <c r="H331" i="7"/>
  <c r="H332" i="7" s="1"/>
  <c r="H330" i="7"/>
  <c r="H318" i="7"/>
  <c r="H319" i="7" s="1"/>
  <c r="H320" i="7" s="1"/>
  <c r="H315" i="7"/>
  <c r="H316" i="7" s="1"/>
  <c r="H314" i="7"/>
  <c r="H310" i="7"/>
  <c r="H311" i="7" s="1"/>
  <c r="H312" i="7" s="1"/>
  <c r="H306" i="7"/>
  <c r="H307" i="7" s="1"/>
  <c r="H308" i="7" s="1"/>
  <c r="H303" i="7"/>
  <c r="H304" i="7"/>
  <c r="H302" i="7"/>
  <c r="H300" i="7"/>
  <c r="I300" i="7" s="1"/>
  <c r="H294" i="7"/>
  <c r="H290" i="7"/>
  <c r="H291" i="7" s="1"/>
  <c r="H292" i="7" s="1"/>
  <c r="H288" i="7"/>
  <c r="H285" i="7"/>
  <c r="H286" i="7" s="1"/>
  <c r="H287" i="7" s="1"/>
  <c r="H282" i="7"/>
  <c r="H283" i="7" s="1"/>
  <c r="H284" i="7" s="1"/>
  <c r="H275" i="7"/>
  <c r="H271" i="7"/>
  <c r="H272" i="7" s="1"/>
  <c r="H273" i="7" s="1"/>
  <c r="H268" i="7"/>
  <c r="H269" i="7" s="1"/>
  <c r="H270" i="7" s="1"/>
  <c r="H254" i="7"/>
  <c r="H250" i="7"/>
  <c r="H251" i="7" s="1"/>
  <c r="H252" i="7" s="1"/>
  <c r="H249" i="7"/>
  <c r="H247" i="7"/>
  <c r="H248" i="7" s="1"/>
  <c r="H240" i="7"/>
  <c r="H243" i="7" s="1"/>
  <c r="H244" i="7" s="1"/>
  <c r="H245" i="7" s="1"/>
  <c r="H222" i="7"/>
  <c r="H223" i="7" s="1"/>
  <c r="H224" i="7" s="1"/>
  <c r="H219" i="7"/>
  <c r="H220" i="7" s="1"/>
  <c r="H221" i="7" s="1"/>
  <c r="H215" i="7"/>
  <c r="I215" i="7" s="1"/>
  <c r="H208" i="7"/>
  <c r="H209" i="7" s="1"/>
  <c r="H210" i="7" s="1"/>
  <c r="H207" i="7"/>
  <c r="H205" i="7"/>
  <c r="H206" i="7" s="1"/>
  <c r="H198" i="7"/>
  <c r="H199" i="7" s="1"/>
  <c r="H200" i="7" s="1"/>
  <c r="H192" i="7"/>
  <c r="H193" i="7" s="1"/>
  <c r="H194" i="7"/>
  <c r="H54" i="3" s="1"/>
  <c r="H189" i="7"/>
  <c r="H186" i="7"/>
  <c r="H187" i="7" s="1"/>
  <c r="H188" i="7" s="1"/>
  <c r="H183" i="7"/>
  <c r="H184" i="7" s="1"/>
  <c r="H185" i="7" s="1"/>
  <c r="H180" i="7"/>
  <c r="H181" i="7" s="1"/>
  <c r="H179" i="7"/>
  <c r="H176" i="7"/>
  <c r="H177" i="7" s="1"/>
  <c r="H175" i="7"/>
  <c r="H171" i="7"/>
  <c r="H172" i="7" s="1"/>
  <c r="H173" i="7" s="1"/>
  <c r="H168" i="7"/>
  <c r="H169" i="7" s="1"/>
  <c r="H170" i="7" s="1"/>
  <c r="H165" i="7"/>
  <c r="H166" i="7" s="1"/>
  <c r="H164" i="7"/>
  <c r="H162" i="7"/>
  <c r="H161" i="7"/>
  <c r="H160" i="7"/>
  <c r="H158" i="7"/>
  <c r="H156" i="7"/>
  <c r="H157" i="7" s="1"/>
  <c r="H155" i="7"/>
  <c r="H147" i="7"/>
  <c r="H148" i="7" s="1"/>
  <c r="H149" i="7" s="1"/>
  <c r="H144" i="7"/>
  <c r="H145" i="7" s="1"/>
  <c r="H146" i="7" s="1"/>
  <c r="H137" i="7"/>
  <c r="H140" i="7" s="1"/>
  <c r="H141" i="7" s="1"/>
  <c r="H142" i="7" s="1"/>
  <c r="I142" i="7" s="1"/>
  <c r="H133" i="7"/>
  <c r="H134" i="7" s="1"/>
  <c r="H135" i="7" s="1"/>
  <c r="H132" i="7"/>
  <c r="H130" i="7"/>
  <c r="H131" i="7" s="1"/>
  <c r="H128" i="7"/>
  <c r="H126" i="7"/>
  <c r="H127" i="7" s="1"/>
  <c r="H125" i="7"/>
  <c r="H121" i="7"/>
  <c r="H122" i="7" s="1"/>
  <c r="H123" i="7" s="1"/>
  <c r="H119" i="7"/>
  <c r="H115" i="7"/>
  <c r="H116" i="7" s="1"/>
  <c r="H117" i="7" s="1"/>
  <c r="H113" i="7"/>
  <c r="H110" i="7"/>
  <c r="H107" i="7"/>
  <c r="H108" i="7" s="1"/>
  <c r="H106" i="7"/>
  <c r="H102" i="7"/>
  <c r="H103" i="7" s="1"/>
  <c r="H104" i="7" s="1"/>
  <c r="H98" i="7"/>
  <c r="H94" i="7"/>
  <c r="H95" i="7" s="1"/>
  <c r="H96" i="7" s="1"/>
  <c r="H90" i="7"/>
  <c r="H91" i="7" s="1"/>
  <c r="H92" i="7" s="1"/>
  <c r="H86" i="7"/>
  <c r="H87" i="7" s="1"/>
  <c r="H88" i="7" s="1"/>
  <c r="I88" i="7" s="1"/>
  <c r="H83" i="7"/>
  <c r="H84" i="7"/>
  <c r="H82" i="7"/>
  <c r="H78" i="7"/>
  <c r="H79" i="7" s="1"/>
  <c r="H80" i="7" s="1"/>
  <c r="H75" i="7"/>
  <c r="H76" i="7" s="1"/>
  <c r="I76" i="7" s="1"/>
  <c r="H74" i="7"/>
  <c r="I74" i="7" s="1"/>
  <c r="H72" i="7"/>
  <c r="H70" i="7"/>
  <c r="H71" i="7" s="1"/>
  <c r="H63" i="7"/>
  <c r="H64" i="7" s="1"/>
  <c r="H65" i="7" s="1"/>
  <c r="H60" i="7"/>
  <c r="H61" i="7"/>
  <c r="H59" i="7"/>
  <c r="H55" i="7"/>
  <c r="H56" i="7" s="1"/>
  <c r="H57" i="7" s="1"/>
  <c r="I57" i="7" s="1"/>
  <c r="H53" i="7"/>
  <c r="I53" i="7" s="1"/>
  <c r="H50" i="7"/>
  <c r="H51" i="7" s="1"/>
  <c r="H52" i="7" s="1"/>
  <c r="H47" i="7"/>
  <c r="H48" i="7" s="1"/>
  <c r="I48" i="7" s="1"/>
  <c r="H46" i="7"/>
  <c r="I46" i="7" s="1"/>
  <c r="H42" i="7"/>
  <c r="H43" i="7" s="1"/>
  <c r="H44" i="7" s="1"/>
  <c r="I44" i="7" s="1"/>
  <c r="H38" i="7"/>
  <c r="H39" i="7" s="1"/>
  <c r="H40" i="7" s="1"/>
  <c r="H34" i="7"/>
  <c r="H35" i="7" s="1"/>
  <c r="H36" i="7" s="1"/>
  <c r="H28" i="7"/>
  <c r="I28" i="7" s="1"/>
  <c r="H31" i="7"/>
  <c r="H32" i="7" s="1"/>
  <c r="I32" i="7" s="1"/>
  <c r="H30" i="7"/>
  <c r="H25" i="7"/>
  <c r="H26" i="7" s="1"/>
  <c r="H27" i="7" s="1"/>
  <c r="I27" i="7" s="1"/>
  <c r="H21" i="7"/>
  <c r="I21" i="7" s="1"/>
  <c r="H19" i="7"/>
  <c r="I19" i="7" s="1"/>
  <c r="H15" i="7"/>
  <c r="H16" i="7" s="1"/>
  <c r="H17" i="7" s="1"/>
  <c r="H12" i="7"/>
  <c r="H13" i="7" s="1"/>
  <c r="H11" i="7"/>
  <c r="H9" i="7"/>
  <c r="H7" i="7"/>
  <c r="I7" i="7" s="1"/>
  <c r="H18" i="3"/>
  <c r="I18" i="3" s="1"/>
  <c r="H16" i="3"/>
  <c r="H14" i="3"/>
  <c r="I14" i="3" s="1"/>
  <c r="H12" i="3"/>
  <c r="I140" i="7" l="1"/>
  <c r="I141" i="7"/>
  <c r="I137" i="7"/>
  <c r="H22" i="7"/>
  <c r="H32" i="3"/>
  <c r="I32" i="3" s="1"/>
  <c r="I26" i="7"/>
  <c r="I25" i="7"/>
  <c r="I31" i="7"/>
  <c r="I43" i="7"/>
  <c r="I42" i="7"/>
  <c r="I47" i="7"/>
  <c r="I56" i="7"/>
  <c r="I55" i="7"/>
  <c r="H34" i="3"/>
  <c r="I75" i="7"/>
  <c r="H99" i="7"/>
  <c r="H111" i="7"/>
  <c r="H35" i="3"/>
  <c r="F12" i="5"/>
  <c r="I311" i="7"/>
  <c r="I310" i="7"/>
  <c r="H338" i="7"/>
  <c r="H362" i="7"/>
  <c r="H47" i="3"/>
  <c r="H351" i="7"/>
  <c r="H43" i="3"/>
  <c r="I350" i="7"/>
  <c r="H216" i="7"/>
  <c r="I216" i="7" s="1"/>
  <c r="H195" i="7"/>
  <c r="I192" i="7"/>
  <c r="I194" i="7"/>
  <c r="H138" i="7"/>
  <c r="H241" i="7"/>
  <c r="H242" i="7" s="1"/>
  <c r="H357" i="7"/>
  <c r="H358" i="7" s="1"/>
  <c r="H359" i="7" s="1"/>
  <c r="H213" i="7"/>
  <c r="H257" i="7"/>
  <c r="H258" i="7" s="1"/>
  <c r="H259" i="7" s="1"/>
  <c r="H255" i="7"/>
  <c r="H256" i="7" s="1"/>
  <c r="H297" i="7"/>
  <c r="H298" i="7" s="1"/>
  <c r="H299" i="7" s="1"/>
  <c r="H295" i="7"/>
  <c r="H296" i="7" s="1"/>
  <c r="H278" i="7"/>
  <c r="H279" i="7" s="1"/>
  <c r="H280" i="7" s="1"/>
  <c r="H276" i="7"/>
  <c r="H277" i="7" s="1"/>
  <c r="H201" i="7"/>
  <c r="H202" i="7" s="1"/>
  <c r="H203" i="7" s="1"/>
  <c r="H18" i="7"/>
  <c r="I18" i="7" s="1"/>
  <c r="G328" i="7"/>
  <c r="G19" i="7"/>
  <c r="G9" i="7"/>
  <c r="G66" i="7"/>
  <c r="G147" i="7"/>
  <c r="G297" i="7"/>
  <c r="G357" i="7"/>
  <c r="G171" i="7"/>
  <c r="G140" i="7"/>
  <c r="G133" i="7"/>
  <c r="G186" i="7"/>
  <c r="G333" i="7"/>
  <c r="G243" i="7"/>
  <c r="G215" i="7"/>
  <c r="G201" i="7"/>
  <c r="G208" i="7"/>
  <c r="G250" i="7"/>
  <c r="G194" i="7"/>
  <c r="G34" i="3"/>
  <c r="G35" i="3" s="1"/>
  <c r="G46" i="3"/>
  <c r="G47" i="3" s="1"/>
  <c r="D38" i="5"/>
  <c r="D39" i="5"/>
  <c r="D40" i="5"/>
  <c r="D30" i="5"/>
  <c r="D29" i="5"/>
  <c r="D32" i="5"/>
  <c r="D31" i="5"/>
  <c r="D17" i="5"/>
  <c r="D18" i="5"/>
  <c r="D27" i="5"/>
  <c r="D34" i="5"/>
  <c r="D26" i="5"/>
  <c r="D22" i="5"/>
  <c r="D25" i="5"/>
  <c r="D23" i="5"/>
  <c r="D20" i="5"/>
  <c r="D36" i="5"/>
  <c r="D35" i="5"/>
  <c r="D14" i="5"/>
  <c r="D15" i="5"/>
  <c r="D12" i="5"/>
  <c r="D19" i="5"/>
  <c r="H139" i="7" l="1"/>
  <c r="I139" i="7" s="1"/>
  <c r="I138" i="7"/>
  <c r="H23" i="7"/>
  <c r="I23" i="7" s="1"/>
  <c r="I22" i="7"/>
  <c r="H100" i="7"/>
  <c r="I100" i="7" s="1"/>
  <c r="I99" i="7"/>
  <c r="H112" i="7"/>
  <c r="I112" i="7" s="1"/>
  <c r="I111" i="7"/>
  <c r="H339" i="7"/>
  <c r="I339" i="7" s="1"/>
  <c r="I338" i="7"/>
  <c r="H363" i="7"/>
  <c r="I363" i="7" s="1"/>
  <c r="I362" i="7"/>
  <c r="H352" i="7"/>
  <c r="I352" i="7" s="1"/>
  <c r="I351" i="7"/>
  <c r="H217" i="7"/>
  <c r="I217" i="7" s="1"/>
  <c r="H214" i="7"/>
  <c r="I214" i="7" s="1"/>
  <c r="I213" i="7"/>
  <c r="H196" i="7"/>
  <c r="I196" i="7" s="1"/>
  <c r="I195" i="7"/>
  <c r="D16" i="5"/>
  <c r="D24" i="5"/>
  <c r="D11" i="5"/>
  <c r="G344" i="7"/>
  <c r="G300" i="7"/>
  <c r="G288" i="7"/>
  <c r="G189" i="7"/>
  <c r="G158" i="7"/>
  <c r="G128" i="7"/>
  <c r="G119" i="7"/>
  <c r="G113" i="7"/>
  <c r="G53" i="7"/>
  <c r="G28" i="7"/>
  <c r="G7" i="7"/>
  <c r="D21" i="5"/>
  <c r="D13" i="5"/>
  <c r="G54" i="3"/>
  <c r="G44" i="3"/>
  <c r="I37" i="3" l="1"/>
  <c r="I39" i="3"/>
  <c r="I40" i="3"/>
  <c r="I46" i="3"/>
  <c r="G18" i="7"/>
  <c r="H13" i="6"/>
  <c r="H11" i="6"/>
  <c r="E37" i="5"/>
  <c r="F37" i="5" s="1"/>
  <c r="E21" i="5"/>
  <c r="E13" i="5"/>
  <c r="D37" i="5"/>
  <c r="D28" i="5"/>
  <c r="D33" i="5"/>
  <c r="G37" i="3"/>
  <c r="G32" i="3"/>
  <c r="H21" i="3"/>
  <c r="G21" i="3"/>
  <c r="G18" i="3"/>
  <c r="G16" i="3"/>
  <c r="G13" i="3"/>
  <c r="G11" i="3"/>
  <c r="G10" i="3" l="1"/>
  <c r="G14" i="3"/>
  <c r="I21" i="1"/>
  <c r="I43" i="3"/>
  <c r="I47" i="3"/>
  <c r="E33" i="5"/>
  <c r="F33" i="5" s="1"/>
  <c r="E28" i="5"/>
  <c r="F28" i="5" s="1"/>
  <c r="D10" i="5"/>
  <c r="G12" i="3"/>
  <c r="I10" i="3"/>
  <c r="H12" i="1"/>
  <c r="G30" i="3"/>
  <c r="G8" i="7"/>
  <c r="J10" i="1" l="1"/>
  <c r="I44" i="3"/>
  <c r="I22" i="1"/>
  <c r="H9" i="1"/>
  <c r="J9" i="1" l="1"/>
  <c r="E16" i="5"/>
  <c r="F16" i="5" s="1"/>
  <c r="H48" i="3" l="1"/>
  <c r="I48" i="3" l="1"/>
  <c r="I14" i="1"/>
  <c r="J14" i="1" s="1"/>
  <c r="I34" i="3"/>
  <c r="E24" i="5" l="1"/>
  <c r="E10" i="5" s="1"/>
  <c r="F10" i="5" s="1"/>
  <c r="H30" i="3"/>
  <c r="I35" i="3"/>
  <c r="I13" i="1" l="1"/>
  <c r="J13" i="1" s="1"/>
  <c r="I30" i="3"/>
  <c r="I12" i="1" l="1"/>
  <c r="J12" i="1" s="1"/>
</calcChain>
</file>

<file path=xl/sharedStrings.xml><?xml version="1.0" encoding="utf-8"?>
<sst xmlns="http://schemas.openxmlformats.org/spreadsheetml/2006/main" count="703" uniqueCount="294">
  <si>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</si>
  <si>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</si>
  <si>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</si>
  <si>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</si>
  <si>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</si>
  <si>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</si>
  <si>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PRIMICI OD FINANCIJSKE IMOVINE I ZADUŽIVANJA</t>
  </si>
  <si>
    <t>IZDACI ZA FINANCIJSKU IMOVINU I OTPLATE ZAJMOVA</t>
  </si>
  <si>
    <t>NETO FINANCIRANJE</t>
  </si>
  <si>
    <t>Izvršenje 2021.</t>
  </si>
  <si>
    <t>Plan 2022.</t>
  </si>
  <si>
    <t>Proračun za 2023.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</si>
  <si>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</si>
  <si>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</si>
  <si>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</si>
  <si>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</si>
  <si>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</si>
  <si>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</si>
  <si>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Prihodi od poreza</t>
  </si>
  <si>
    <t>Opći prihodi i primici</t>
  </si>
  <si>
    <t>Prihodi od prodaje nefinancijske imovine</t>
  </si>
  <si>
    <t>Prihodi od prodaje neproizvedene dugotrajne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</si>
  <si>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</si>
  <si>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</si>
  <si>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</si>
  <si>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</si>
  <si>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</si>
  <si>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</si>
  <si>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</si>
  <si>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</si>
  <si>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</si>
  <si>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01 Opće javne usluge</t>
  </si>
  <si>
    <t>011 Izvršna i zakonodavna tijela, financijski i fiskalni poslovi</t>
  </si>
  <si>
    <t>04 Ekonomski poslovi</t>
  </si>
  <si>
    <t>041 Opći ekonomski, trgovački i poslovi vezani uz rad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</si>
  <si>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</si>
  <si>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</si>
  <si>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</si>
  <si>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</si>
  <si>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</si>
  <si>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</si>
  <si>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</si>
  <si>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</si>
  <si>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</si>
  <si>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</si>
  <si>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</si>
  <si>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</si>
  <si>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B) SAŽETAK RAČUNA FINANCIRANJA</t>
  </si>
  <si>
    <t>A) SAŽETAK RAČUNA PRIHODA I RASHODA</t>
  </si>
  <si>
    <t>Izvršenje 2021.**</t>
  </si>
  <si>
    <t>Plan 2022.**</t>
  </si>
  <si>
    <t>Rashodi za nabavu proizvedene dugotrajne imovine</t>
  </si>
  <si>
    <t>Prihodi od imovine</t>
  </si>
  <si>
    <t>Naziv</t>
  </si>
  <si>
    <t>03 Javni red i sigurnost</t>
  </si>
  <si>
    <t xml:space="preserve">032 Usluge protupožarne zaštite </t>
  </si>
  <si>
    <t>042 Poljoprivreda, šumarstvo, ribolovstvo i lov</t>
  </si>
  <si>
    <t xml:space="preserve">045 Promet </t>
  </si>
  <si>
    <t xml:space="preserve">05 Zaštita okoliša </t>
  </si>
  <si>
    <t>051 Gospodarenje otpadom</t>
  </si>
  <si>
    <t>06 Usluge unaprjeđenja stanovanja i zajednice</t>
  </si>
  <si>
    <t xml:space="preserve">063 Opskrba vodom </t>
  </si>
  <si>
    <t xml:space="preserve">064 Ulična rasjeta </t>
  </si>
  <si>
    <t xml:space="preserve">08 Rekracija, kultura i religija </t>
  </si>
  <si>
    <t xml:space="preserve">081 Službe rekreacije i sporta </t>
  </si>
  <si>
    <t>082 Službe kulture</t>
  </si>
  <si>
    <t xml:space="preserve">083 Službe emitiranja i izdavanja </t>
  </si>
  <si>
    <t xml:space="preserve">084 Religijske i druge službe zajednice </t>
  </si>
  <si>
    <t xml:space="preserve">09 Obrazovanje </t>
  </si>
  <si>
    <t xml:space="preserve">091 Predškolsko i osnovno obrazovanje </t>
  </si>
  <si>
    <t xml:space="preserve">094 Visoka naobrazba </t>
  </si>
  <si>
    <t xml:space="preserve">10 Socijalna zaštita </t>
  </si>
  <si>
    <t xml:space="preserve">104 Obitelj i djeca </t>
  </si>
  <si>
    <t xml:space="preserve">107 Socijalna pomoć stanovništvu koje nije obuhvaćeno redovnim socijalnim programom </t>
  </si>
  <si>
    <t>Pomoći iz inozemstva i od subjekata unutar općeg proračuna</t>
  </si>
  <si>
    <t xml:space="preserve">Prihodi od upravnih i administrativnih pristojbi, pristojbi po posebnim propisima i naknadama </t>
  </si>
  <si>
    <t xml:space="preserve">Kazne, upravne mjere i ostali prihodi </t>
  </si>
  <si>
    <t xml:space="preserve">Prihodi od prodaje proizvedene dugotrajne imovine </t>
  </si>
  <si>
    <t xml:space="preserve">Financijski rashodi </t>
  </si>
  <si>
    <t xml:space="preserve">Subvencije </t>
  </si>
  <si>
    <t xml:space="preserve">Pomoći dane u inozemstvo i unutar općeg proračuna </t>
  </si>
  <si>
    <t xml:space="preserve">Naknade građanima i kućanstvima ne temelju osiguranja i druge naknade </t>
  </si>
  <si>
    <t xml:space="preserve">Donacije i ostali rashodi </t>
  </si>
  <si>
    <t>Rashodi za nabavu proizvedene  dugotrajne imovine</t>
  </si>
  <si>
    <t>RAZDJEL 001</t>
  </si>
  <si>
    <t>JEDINSTVENI UPRAVNI ODJEL</t>
  </si>
  <si>
    <t>OPĆINSKO VIJEĆE</t>
  </si>
  <si>
    <t>GLAVA 001 01</t>
  </si>
  <si>
    <t>Donošenje akata i mjera</t>
  </si>
  <si>
    <t xml:space="preserve">Redovan rad Općinskog vijeća </t>
  </si>
  <si>
    <t xml:space="preserve">Potpora radu političkih stranaka </t>
  </si>
  <si>
    <t>PROGRAM 1001</t>
  </si>
  <si>
    <t>GLAVA 001 02</t>
  </si>
  <si>
    <t>Aktivnost A1001 01</t>
  </si>
  <si>
    <t xml:space="preserve">Rashodi za zaposlene </t>
  </si>
  <si>
    <t>Aktivnost A1001 02</t>
  </si>
  <si>
    <t xml:space="preserve">Reprezentacija </t>
  </si>
  <si>
    <t>PROGRAM 1002</t>
  </si>
  <si>
    <t xml:space="preserve">Rashodi poslovanja </t>
  </si>
  <si>
    <t>Aktivnost A1002 01</t>
  </si>
  <si>
    <t>Aktivnost A1002 02</t>
  </si>
  <si>
    <t>PROGRAM 1003</t>
  </si>
  <si>
    <t xml:space="preserve">Rashodi za materijal i energiju </t>
  </si>
  <si>
    <t>Aktivnost A1003 01</t>
  </si>
  <si>
    <t xml:space="preserve">Uredski materijal </t>
  </si>
  <si>
    <t>Aktivnost A1003 02</t>
  </si>
  <si>
    <t xml:space="preserve">Materijalni rashodi </t>
  </si>
  <si>
    <t>Aktivnost A1003 03</t>
  </si>
  <si>
    <t>Aktivnost A 1003 04</t>
  </si>
  <si>
    <t>Aktivnost A1003 05</t>
  </si>
  <si>
    <t>PROGRAM 1004</t>
  </si>
  <si>
    <t xml:space="preserve">Rashodi za usluge </t>
  </si>
  <si>
    <t>Aktivnost A1004 01</t>
  </si>
  <si>
    <t>Aktivnost A1004 02</t>
  </si>
  <si>
    <t xml:space="preserve">Poštarina </t>
  </si>
  <si>
    <t>Aktivnost A 1004 03</t>
  </si>
  <si>
    <t>Aktivnost A1004 04</t>
  </si>
  <si>
    <t>Aktivnost A1004 05</t>
  </si>
  <si>
    <t>Aktivnost A1004 06</t>
  </si>
  <si>
    <t xml:space="preserve">Opskrba vodom </t>
  </si>
  <si>
    <t>Aktivnost A1004 07</t>
  </si>
  <si>
    <t>Aktivnost A1004 08</t>
  </si>
  <si>
    <t>Aktivnost A1004 09</t>
  </si>
  <si>
    <t>Aktivnost A1004 10</t>
  </si>
  <si>
    <t>Aktivnost A1004 11</t>
  </si>
  <si>
    <t>Aktivnost A1004 12</t>
  </si>
  <si>
    <t xml:space="preserve">Informatička podrška - računalne usluge </t>
  </si>
  <si>
    <t>Aktivnost A1004 13</t>
  </si>
  <si>
    <t>Aktivnost A1004 14</t>
  </si>
  <si>
    <t>PROGRAM 1005</t>
  </si>
  <si>
    <t>Aktivnost A1005 01</t>
  </si>
  <si>
    <t>PROGRAM 1006</t>
  </si>
  <si>
    <t>Aktivnost A1006 01</t>
  </si>
  <si>
    <t>Aktivnost A1006 02</t>
  </si>
  <si>
    <t>PROGRAM 1007</t>
  </si>
  <si>
    <t>Aktivnost A1007 01</t>
  </si>
  <si>
    <t xml:space="preserve">092 Srednjoškolsko obrazovanje </t>
  </si>
  <si>
    <t xml:space="preserve">Tekuće donacije u novcu </t>
  </si>
  <si>
    <t xml:space="preserve">Protupožarna i civilna zaštita </t>
  </si>
  <si>
    <t xml:space="preserve">Javna vatrogasna postrojba </t>
  </si>
  <si>
    <t xml:space="preserve">Civilna zaštita i gorska služba spašavanja </t>
  </si>
  <si>
    <t xml:space="preserve">Izgradnja objekata i uređenje komunalne infrastrukture </t>
  </si>
  <si>
    <t xml:space="preserve">Rashodi za nabavu nefinancijske imovine </t>
  </si>
  <si>
    <t>Izgradnja groblja</t>
  </si>
  <si>
    <t>Izvor financiranja 11</t>
  </si>
  <si>
    <t>PROGRAM 1012</t>
  </si>
  <si>
    <t>Aktivnost A1012 01</t>
  </si>
  <si>
    <t>Aktivnost A1012 02</t>
  </si>
  <si>
    <t>Aktivnost A1012 03</t>
  </si>
  <si>
    <t>Izvor financiranja 52</t>
  </si>
  <si>
    <t xml:space="preserve">Ostale pomoći </t>
  </si>
  <si>
    <t xml:space="preserve">Vlastiti prihodi </t>
  </si>
  <si>
    <t>Ostale pomoći i darovnice</t>
  </si>
  <si>
    <t xml:space="preserve">Rashodi za nabavu proizvedene dugotrajne imovine </t>
  </si>
  <si>
    <t>Izvor financiranja  11</t>
  </si>
  <si>
    <t>Izvor financiranja  52</t>
  </si>
  <si>
    <t xml:space="preserve">Opći prihodi i primici </t>
  </si>
  <si>
    <t xml:space="preserve">Ostale pomoći i darovnice </t>
  </si>
  <si>
    <t xml:space="preserve">Materijlani rashodi </t>
  </si>
  <si>
    <t xml:space="preserve">Pomoći </t>
  </si>
  <si>
    <t>Pomoći</t>
  </si>
  <si>
    <t>OPĆINSKI NAČELNIK I UPRAVNI ODJEL</t>
  </si>
  <si>
    <t xml:space="preserve">Donošenje i provedba akata i mjera iz djelokruga izvršnog tijela </t>
  </si>
  <si>
    <t xml:space="preserve">Rashoodi za zaposlene </t>
  </si>
  <si>
    <t>Literatura (publikacije, časopisi, knjige,  suf. izdav. knjiga i sl.)</t>
  </si>
  <si>
    <t xml:space="preserve">Materijal i sredstva za čišćenje i održavanje općine </t>
  </si>
  <si>
    <t>Motorni benzin i dizel gorivo</t>
  </si>
  <si>
    <t>Nabavka sitnog inventara i opreme</t>
  </si>
  <si>
    <t>Nabavka autoguma i rezervnih djelova za sl. vozilo, održ. služ. vozila</t>
  </si>
  <si>
    <t>Aktivnost A1003 06</t>
  </si>
  <si>
    <t xml:space="preserve">Usluge telefona, telefaksa i interneta </t>
  </si>
  <si>
    <t xml:space="preserve">Iznošenje i odvoz smeća- Groblja i zgrada Općine </t>
  </si>
  <si>
    <t>Odvjetnici, javni bilježnici- usluge</t>
  </si>
  <si>
    <t>Dokumentacija zaštite na radu, procjena rizika od požara i el. nepogoda</t>
  </si>
  <si>
    <t xml:space="preserve">Troškovi službenih putovanja </t>
  </si>
  <si>
    <t>Izrada strateških dokumenata</t>
  </si>
  <si>
    <t>Oglasi</t>
  </si>
  <si>
    <t xml:space="preserve">Promidžbene usluge </t>
  </si>
  <si>
    <t>Članarina LAG Adrion</t>
  </si>
  <si>
    <t>Bankarski troškovi i troškovi platnog prometa</t>
  </si>
  <si>
    <t xml:space="preserve">Ostali nespomenuti rashodi </t>
  </si>
  <si>
    <t xml:space="preserve">Otplata kredita- zaduživanje </t>
  </si>
  <si>
    <t>Javni dug- Otplata kredita za kapitalnu investiciju "Izgradnja sekundarne kanalizacijske mreže Općine"</t>
  </si>
  <si>
    <t>Javne potrebe u obrazovanju Općine Proložac</t>
  </si>
  <si>
    <t>Aktivnost A1007 02</t>
  </si>
  <si>
    <t>Aktivnost A1007 03</t>
  </si>
  <si>
    <t>Aktivnost A1007 04</t>
  </si>
  <si>
    <t>Aktivnost A1007 05</t>
  </si>
  <si>
    <t xml:space="preserve">Sufinanciranje javnog prijevoza srednjoškolskih učenika i linijskog prijevoza </t>
  </si>
  <si>
    <t>Naknade građanima i kućanstvima</t>
  </si>
  <si>
    <t xml:space="preserve">Studentski prijevoz i studentske stipendije </t>
  </si>
  <si>
    <t xml:space="preserve">Radne zadaće za osnovnoškolce </t>
  </si>
  <si>
    <t xml:space="preserve">Nagrade za učenike i studente za ostvarene rezultate </t>
  </si>
  <si>
    <t>PROGRAM 1008</t>
  </si>
  <si>
    <t xml:space="preserve">Održavanje objekata i uređenja komunalne infrastrukture i zaštita okoliša </t>
  </si>
  <si>
    <t>Aktivnost A1008 01</t>
  </si>
  <si>
    <t>Javni radovi na području Općine Proložac kroz 2023.</t>
  </si>
  <si>
    <t>Aktivnost A1008 02</t>
  </si>
  <si>
    <t xml:space="preserve">Materijal i djelovi za održavanje javne rasvjete </t>
  </si>
  <si>
    <t>Aktivnost A1008 03</t>
  </si>
  <si>
    <t xml:space="preserve">Električna energija- javna rasvjeta </t>
  </si>
  <si>
    <t>Aktivnost A1008 04</t>
  </si>
  <si>
    <t>Uređenje prostora-sanacija okoliša, te nabavka kanti za otpad</t>
  </si>
  <si>
    <t>Aktivnost A1008 05</t>
  </si>
  <si>
    <t xml:space="preserve">Održavanje postrojenja i opreme </t>
  </si>
  <si>
    <t>Aktivnost A1008 06</t>
  </si>
  <si>
    <t xml:space="preserve">Održavanje javnih površina Općine </t>
  </si>
  <si>
    <t>PROGRAM 1009</t>
  </si>
  <si>
    <t>Kapitalni projekt K1009 01</t>
  </si>
  <si>
    <t xml:space="preserve">Izgradnja i sanacija lokalnih i nerazvrstanih cesta </t>
  </si>
  <si>
    <t>Kapitalni projekt K1009 02</t>
  </si>
  <si>
    <t xml:space="preserve">Ostale pomoći i darovnica </t>
  </si>
  <si>
    <t>Kapitalni projekt K1009 03</t>
  </si>
  <si>
    <t xml:space="preserve">Izgradnja seku. Kanalizacacijske mreže i odvodnih kanala na području Općine Proložac, aglomeracija </t>
  </si>
  <si>
    <t xml:space="preserve">Izgradnja vodoopskrbne mreže Općine Proložac </t>
  </si>
  <si>
    <t>Kapitalni projekt K1009 04</t>
  </si>
  <si>
    <t>Kapitalni projekt K1009 05</t>
  </si>
  <si>
    <t xml:space="preserve">Izgradnja svlačionica uz nogometno igralište Šarapov, te uređenje igrališta </t>
  </si>
  <si>
    <t>Kapitalni projekt K1009 06</t>
  </si>
  <si>
    <t xml:space="preserve">Izgradnja reciklažnog dvorišta </t>
  </si>
  <si>
    <t>Kapitalni projekt K1009 07</t>
  </si>
  <si>
    <t xml:space="preserve">Izgradnja nogostupa na području Općine Proložac </t>
  </si>
  <si>
    <t>Kapitalni projekt K1009 08</t>
  </si>
  <si>
    <t>Izgradnja javne rasvjete</t>
  </si>
  <si>
    <t>Kapitalni projekt K1009 09</t>
  </si>
  <si>
    <t xml:space="preserve">Izmjera K.O. Postranje formiranje zemljišnih knjiga </t>
  </si>
  <si>
    <t xml:space="preserve">Izgradnja nogog dječjeg vrtića </t>
  </si>
  <si>
    <t>Kapitalni projket K1009 10</t>
  </si>
  <si>
    <t>Kapitalni projekt K1009 11</t>
  </si>
  <si>
    <t xml:space="preserve">Izgradnja novih i obnova postojećih trgova </t>
  </si>
  <si>
    <t>Kapitalni projekt K1009 12</t>
  </si>
  <si>
    <t xml:space="preserve">Izgradnja dječjih igrališta </t>
  </si>
  <si>
    <t>PROGRAM 1010</t>
  </si>
  <si>
    <t xml:space="preserve">Razvoj poljoprivrede i gospodarstva </t>
  </si>
  <si>
    <t>Aktivnost A1010 01</t>
  </si>
  <si>
    <t xml:space="preserve">Sufinanciranje županijskog programa- Nabavka sadnog materijala za poljoprivrednike </t>
  </si>
  <si>
    <t>Aktivnost A1010 02</t>
  </si>
  <si>
    <t>Poduzetnički centar Proložac d.o.o.</t>
  </si>
  <si>
    <t>PROGRAM 1011</t>
  </si>
  <si>
    <t xml:space="preserve">Program javnih potreba u kulturi </t>
  </si>
  <si>
    <t>Aktivnost A1011 03</t>
  </si>
  <si>
    <t>Aktivnost A1011 01</t>
  </si>
  <si>
    <t xml:space="preserve">Dan Općine </t>
  </si>
  <si>
    <t>Aktivnost A1011 02</t>
  </si>
  <si>
    <t xml:space="preserve">Imotska krajina i ostali mediji </t>
  </si>
  <si>
    <t>Aktivnost A1011 05</t>
  </si>
  <si>
    <t>Djelatnost kulturno umjetničkog društva "Proložac"</t>
  </si>
  <si>
    <t>Aktivnost A1011 04</t>
  </si>
  <si>
    <t xml:space="preserve">Vjerske zajednice- pomoć u radu- župa Proložac i župa Ričice </t>
  </si>
  <si>
    <t>Kulturne i civilne udruge- prema programu rada</t>
  </si>
  <si>
    <t>Aktivnost A1011 06</t>
  </si>
  <si>
    <t xml:space="preserve">Zaštita kulturnih dobara, te izgradnja spomen obilježja za sve poginule hrvatske branitelje </t>
  </si>
  <si>
    <t xml:space="preserve">Javne potrebe u sportu i uređenje turističkih sadržaja </t>
  </si>
  <si>
    <t>Nogometni klub "Mladost"</t>
  </si>
  <si>
    <t xml:space="preserve">Sportske udruge- prema programu rada </t>
  </si>
  <si>
    <t xml:space="preserve">Proložac Sport </t>
  </si>
  <si>
    <t>Aktivnost K1009 13</t>
  </si>
  <si>
    <t>Kapitalni projekt K1009 14</t>
  </si>
  <si>
    <t xml:space="preserve">Uređenje Zelene Katedrale </t>
  </si>
  <si>
    <t>PROGRAM 1013</t>
  </si>
  <si>
    <t xml:space="preserve">Program javnih potreba u socijalnoj skrbi </t>
  </si>
  <si>
    <t xml:space="preserve">Udruga obitelji hrvatskih branitelja poginulih u Domovinskom ratu </t>
  </si>
  <si>
    <t xml:space="preserve">Pomoć u novcu pojedincima i obiteljima- jednokratne pomoći </t>
  </si>
  <si>
    <t xml:space="preserve">Naknade građanima i kućanstvima </t>
  </si>
  <si>
    <t xml:space="preserve">Potpora majkama za novorođeno dijete </t>
  </si>
  <si>
    <t>Program Zaželi, briga za potrebite (pomoć starijima i nemoćnima)</t>
  </si>
  <si>
    <t xml:space="preserve">Crveni križ Imotski </t>
  </si>
  <si>
    <t>Aktivnost A1013 01</t>
  </si>
  <si>
    <t>Aktivnost A1013 02</t>
  </si>
  <si>
    <t>Aktivnost A1013 03</t>
  </si>
  <si>
    <t>Aktivnost A1013 04</t>
  </si>
  <si>
    <t>Aktivnost A1013 05</t>
  </si>
  <si>
    <t xml:space="preserve">022 Civilna zaštita </t>
  </si>
  <si>
    <t>066 Rashodi vezani uz stanovanje i kom. Pogodnosti koji nisu drugdje svrstani</t>
  </si>
  <si>
    <t xml:space="preserve">052 Gospodarenjem otpadnim vodama </t>
  </si>
  <si>
    <t xml:space="preserve">102 Starost </t>
  </si>
  <si>
    <t xml:space="preserve">043 Gorivo i energija </t>
  </si>
  <si>
    <t>Indeks</t>
  </si>
  <si>
    <t>Uređenje športskog centra Nuga- Postranje, te muzeja tzv. Blagajna kod crkve sv. Mihovila, uređ, Badnjavica</t>
  </si>
  <si>
    <t>Materijalni rashodi i usluge</t>
  </si>
  <si>
    <t xml:space="preserve">Kamate na primljene zajmove </t>
  </si>
  <si>
    <t>Rebalans za 2023.</t>
  </si>
  <si>
    <t xml:space="preserve">Sufinanciranje vrtić Imotski- podružnica Proložac, dj. vrtić Ribica Podbablje </t>
  </si>
  <si>
    <t>,</t>
  </si>
  <si>
    <t>URBROJ: 2181/43-02-23-1</t>
  </si>
  <si>
    <r>
      <rPr>
        <b/>
        <sz val="12"/>
        <color theme="0"/>
        <rFont val="Arial"/>
        <family val="2"/>
        <charset val="238"/>
      </rPr>
      <t>`</t>
    </r>
    <r>
      <rPr>
        <b/>
        <sz val="12"/>
        <rFont val="Arial"/>
        <family val="2"/>
        <charset val="238"/>
      </rPr>
      <t>2/1</t>
    </r>
  </si>
  <si>
    <t>IZMJENE I DOPUNE (REBALANS) PRORAČUNA OPĆINE PROLOŽAC ZA  2023. GODINU</t>
  </si>
  <si>
    <t>52</t>
  </si>
  <si>
    <t>Na temelju članka 40. st. 2. Zakona o proračunu NN (144/21) i članka 31. Statuta Općine Proložac Općinsko vijeće Općine Proložac na svojo sjednici održanoj dana 20.11.2023. donosi</t>
  </si>
  <si>
    <t>KLASA: 400-08/23-01/04</t>
  </si>
  <si>
    <t>Proložac, 20.12.2023.</t>
  </si>
  <si>
    <t>Monika Pavlović Grabovac</t>
  </si>
  <si>
    <t>OPĆINSKO VIJEĆE:</t>
  </si>
  <si>
    <t>Predsjednica: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</si>
</sst>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i/>
      <sz val="9"/>
      <name val="Arial"/>
      <family val="2"/>
      <charset val="238"/>
    </font>
    <font>
      <sz val="9"/>
      <name val="Arial"/>
      <family val="2"/>
      <charset val="238"/>
    </font>
    <font>
      <b/>
      <i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sz val="11"/>
      <color rgb="FFCC3300"/>
      <name val="Calibri"/>
      <family val="2"/>
      <charset val="238"/>
      <scheme val="minor"/>
    </font>
    <font>
      <sz val="12"/>
      <color theme="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2"/>
      <color theme="0"/>
      <name val="Arial"/>
      <family val="2"/>
      <charset val="238"/>
    </font>
    <font>
      <b/>
      <i/>
      <sz val="12"/>
      <name val="Arial"/>
      <family val="2"/>
      <charset val="238"/>
    </font>
    <font>
      <b/>
      <sz val="10"/>
      <name val="Arial"/>
      <family val="2"/>
    </font>
    <font>
      <b/>
      <sz val="12"/>
      <color theme="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name val="Arial"/>
      <family val="2"/>
    </font>
    <font>
      <b/>
      <i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2"/>
      </top>
      <bottom/>
      <diagonal/>
    </border>
  </borders>
  <cellStyleXfs count="1">
    <xf numFmtId="0" fontId="0" fillId="0" borderId="0"/>
  </cellStyleXfs>
  <cellXfs count="236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5" fillId="0" borderId="0" xfId="0" applyNumberFormat="1" applyFont="1"/>
    <xf numFmtId="3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center" wrapText="1"/>
    </xf>
    <xf numFmtId="0" fontId="5" fillId="0" borderId="0" xfId="0" applyFont="1" applyAlignment="1">
      <alignment horizontal="center"/>
    </xf>
    <xf numFmtId="0" fontId="2" fillId="0" borderId="1" xfId="0" quotePrefix="1" applyFont="1" applyBorder="1" applyAlignment="1">
      <alignment horizontal="left" wrapText="1"/>
    </xf>
    <xf numFmtId="0" fontId="2" fillId="0" borderId="2" xfId="0" quotePrefix="1" applyFont="1" applyBorder="1" applyAlignment="1">
      <alignment horizontal="left" wrapText="1"/>
    </xf>
    <xf numFmtId="0" fontId="2" fillId="0" borderId="2" xfId="0" quotePrefix="1" applyFont="1" applyBorder="1" applyAlignment="1">
      <alignment horizontal="center" wrapText="1"/>
    </xf>
    <xf numFmtId="0" fontId="2" fillId="0" borderId="2" xfId="0" quotePrefix="1" applyFont="1" applyBorder="1" applyAlignment="1">
      <alignment horizontal="left"/>
    </xf>
    <xf numFmtId="0" fontId="2" fillId="2" borderId="3" xfId="0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3" fillId="0" borderId="0" xfId="0" applyFont="1"/>
    <xf numFmtId="0" fontId="6" fillId="0" borderId="0" xfId="0" quotePrefix="1" applyFont="1" applyAlignment="1">
      <alignment horizontal="center" vertical="center" wrapText="1"/>
    </xf>
    <xf numFmtId="3" fontId="2" fillId="4" borderId="1" xfId="0" quotePrefix="1" applyNumberFormat="1" applyFont="1" applyFill="1" applyBorder="1" applyAlignment="1">
      <alignment horizontal="right"/>
    </xf>
    <xf numFmtId="3" fontId="2" fillId="3" borderId="1" xfId="0" quotePrefix="1" applyNumberFormat="1" applyFont="1" applyFill="1" applyBorder="1" applyAlignment="1">
      <alignment horizontal="right"/>
    </xf>
    <xf numFmtId="0" fontId="4" fillId="0" borderId="0" xfId="0" quotePrefix="1" applyFont="1" applyAlignment="1">
      <alignment horizontal="left" wrapText="1"/>
    </xf>
    <xf numFmtId="0" fontId="9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0" fontId="5" fillId="0" borderId="6" xfId="0" applyFont="1" applyBorder="1"/>
    <xf numFmtId="0" fontId="8" fillId="0" borderId="0" xfId="0" applyFont="1"/>
    <xf numFmtId="3" fontId="8" fillId="0" borderId="0" xfId="0" applyNumberFormat="1" applyFont="1"/>
    <xf numFmtId="3" fontId="13" fillId="0" borderId="0" xfId="0" applyNumberFormat="1" applyFont="1"/>
    <xf numFmtId="4" fontId="8" fillId="0" borderId="0" xfId="0" applyNumberFormat="1" applyFont="1"/>
    <xf numFmtId="4" fontId="5" fillId="0" borderId="0" xfId="0" applyNumberFormat="1" applyFont="1"/>
    <xf numFmtId="0" fontId="14" fillId="0" borderId="0" xfId="0" applyFont="1"/>
    <xf numFmtId="0" fontId="15" fillId="0" borderId="0" xfId="0" applyFont="1"/>
    <xf numFmtId="3" fontId="15" fillId="0" borderId="0" xfId="0" applyNumberFormat="1" applyFont="1"/>
    <xf numFmtId="0" fontId="17" fillId="0" borderId="0" xfId="0" applyFont="1"/>
    <xf numFmtId="4" fontId="2" fillId="3" borderId="3" xfId="0" applyNumberFormat="1" applyFont="1" applyFill="1" applyBorder="1" applyAlignment="1">
      <alignment horizontal="center" wrapText="1"/>
    </xf>
    <xf numFmtId="0" fontId="16" fillId="0" borderId="0" xfId="0" applyFont="1" applyAlignment="1">
      <alignment vertical="center" wrapText="1"/>
    </xf>
    <xf numFmtId="0" fontId="5" fillId="0" borderId="0" xfId="0" applyFont="1" applyAlignment="1">
      <alignment horizontal="right"/>
    </xf>
    <xf numFmtId="0" fontId="16" fillId="0" borderId="0" xfId="0" applyFont="1"/>
    <xf numFmtId="3" fontId="2" fillId="4" borderId="3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left" vertical="center" wrapText="1"/>
    </xf>
    <xf numFmtId="3" fontId="4" fillId="6" borderId="3" xfId="0" applyNumberFormat="1" applyFont="1" applyFill="1" applyBorder="1" applyAlignment="1">
      <alignment horizontal="right"/>
    </xf>
    <xf numFmtId="4" fontId="4" fillId="6" borderId="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left" vertical="center" wrapText="1"/>
    </xf>
    <xf numFmtId="3" fontId="4" fillId="5" borderId="3" xfId="0" applyNumberFormat="1" applyFont="1" applyFill="1" applyBorder="1" applyAlignment="1">
      <alignment horizontal="right"/>
    </xf>
    <xf numFmtId="4" fontId="4" fillId="5" borderId="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left" vertical="center"/>
    </xf>
    <xf numFmtId="0" fontId="19" fillId="5" borderId="3" xfId="0" applyFont="1" applyFill="1" applyBorder="1"/>
    <xf numFmtId="3" fontId="19" fillId="5" borderId="3" xfId="0" applyNumberFormat="1" applyFont="1" applyFill="1" applyBorder="1"/>
    <xf numFmtId="4" fontId="19" fillId="5" borderId="3" xfId="0" applyNumberFormat="1" applyFont="1" applyFill="1" applyBorder="1" applyAlignment="1">
      <alignment horizontal="center"/>
    </xf>
    <xf numFmtId="3" fontId="4" fillId="0" borderId="0" xfId="0" applyNumberFormat="1" applyFont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left" vertical="center" wrapText="1"/>
    </xf>
    <xf numFmtId="3" fontId="4" fillId="8" borderId="3" xfId="0" applyNumberFormat="1" applyFont="1" applyFill="1" applyBorder="1" applyAlignment="1">
      <alignment horizontal="center"/>
    </xf>
    <xf numFmtId="4" fontId="4" fillId="8" borderId="3" xfId="0" applyNumberFormat="1" applyFont="1" applyFill="1" applyBorder="1" applyAlignment="1">
      <alignment horizontal="center"/>
    </xf>
    <xf numFmtId="0" fontId="4" fillId="7" borderId="4" xfId="0" applyFont="1" applyFill="1" applyBorder="1" applyAlignment="1">
      <alignment horizontal="left" vertical="center" wrapText="1"/>
    </xf>
    <xf numFmtId="3" fontId="4" fillId="7" borderId="3" xfId="0" applyNumberFormat="1" applyFont="1" applyFill="1" applyBorder="1" applyAlignment="1">
      <alignment horizontal="center"/>
    </xf>
    <xf numFmtId="4" fontId="4" fillId="7" borderId="3" xfId="0" applyNumberFormat="1" applyFont="1" applyFill="1" applyBorder="1" applyAlignment="1">
      <alignment horizontal="center"/>
    </xf>
    <xf numFmtId="0" fontId="4" fillId="6" borderId="4" xfId="0" applyFont="1" applyFill="1" applyBorder="1" applyAlignment="1">
      <alignment horizontal="left" vertical="center" wrapText="1"/>
    </xf>
    <xf numFmtId="3" fontId="4" fillId="6" borderId="3" xfId="0" applyNumberFormat="1" applyFont="1" applyFill="1" applyBorder="1" applyAlignment="1">
      <alignment horizontal="center"/>
    </xf>
    <xf numFmtId="0" fontId="4" fillId="5" borderId="4" xfId="0" applyFont="1" applyFill="1" applyBorder="1" applyAlignment="1">
      <alignment horizontal="left" vertical="center" wrapText="1"/>
    </xf>
    <xf numFmtId="3" fontId="4" fillId="5" borderId="3" xfId="0" applyNumberFormat="1" applyFont="1" applyFill="1" applyBorder="1" applyAlignment="1">
      <alignment horizontal="center"/>
    </xf>
    <xf numFmtId="3" fontId="4" fillId="5" borderId="4" xfId="0" applyNumberFormat="1" applyFont="1" applyFill="1" applyBorder="1" applyAlignment="1">
      <alignment horizontal="right"/>
    </xf>
    <xf numFmtId="3" fontId="4" fillId="2" borderId="4" xfId="0" applyNumberFormat="1" applyFont="1" applyFill="1" applyBorder="1" applyAlignment="1">
      <alignment horizontal="right"/>
    </xf>
    <xf numFmtId="3" fontId="4" fillId="2" borderId="3" xfId="0" applyNumberFormat="1" applyFont="1" applyFill="1" applyBorder="1" applyAlignment="1">
      <alignment horizontal="right"/>
    </xf>
    <xf numFmtId="3" fontId="4" fillId="6" borderId="4" xfId="0" applyNumberFormat="1" applyFont="1" applyFill="1" applyBorder="1" applyAlignment="1">
      <alignment horizontal="right"/>
    </xf>
    <xf numFmtId="0" fontId="4" fillId="2" borderId="0" xfId="0" applyFont="1" applyFill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3" fontId="4" fillId="8" borderId="4" xfId="0" applyNumberFormat="1" applyFont="1" applyFill="1" applyBorder="1" applyAlignment="1">
      <alignment horizontal="right"/>
    </xf>
    <xf numFmtId="3" fontId="4" fillId="8" borderId="3" xfId="0" applyNumberFormat="1" applyFont="1" applyFill="1" applyBorder="1" applyAlignment="1">
      <alignment horizontal="right"/>
    </xf>
    <xf numFmtId="3" fontId="4" fillId="7" borderId="4" xfId="0" applyNumberFormat="1" applyFont="1" applyFill="1" applyBorder="1" applyAlignment="1">
      <alignment horizontal="right"/>
    </xf>
    <xf numFmtId="3" fontId="4" fillId="7" borderId="3" xfId="0" applyNumberFormat="1" applyFont="1" applyFill="1" applyBorder="1" applyAlignment="1">
      <alignment horizontal="right"/>
    </xf>
    <xf numFmtId="0" fontId="21" fillId="2" borderId="4" xfId="0" applyFont="1" applyFill="1" applyBorder="1" applyAlignment="1">
      <alignment horizontal="left" vertical="center" wrapText="1"/>
    </xf>
    <xf numFmtId="3" fontId="4" fillId="2" borderId="3" xfId="0" applyNumberFormat="1" applyFont="1" applyFill="1" applyBorder="1" applyAlignment="1">
      <alignment horizontal="center"/>
    </xf>
    <xf numFmtId="4" fontId="4" fillId="2" borderId="3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left" vertical="center" wrapText="1"/>
    </xf>
    <xf numFmtId="3" fontId="4" fillId="2" borderId="0" xfId="0" applyNumberFormat="1" applyFont="1" applyFill="1" applyAlignment="1">
      <alignment horizontal="right"/>
    </xf>
    <xf numFmtId="3" fontId="4" fillId="2" borderId="0" xfId="0" applyNumberFormat="1" applyFont="1" applyFill="1" applyAlignment="1">
      <alignment horizontal="center"/>
    </xf>
    <xf numFmtId="0" fontId="21" fillId="2" borderId="0" xfId="0" applyFont="1" applyFill="1" applyAlignment="1">
      <alignment horizontal="left" vertical="center" wrapText="1"/>
    </xf>
    <xf numFmtId="3" fontId="4" fillId="2" borderId="0" xfId="0" applyNumberFormat="1" applyFont="1" applyFill="1" applyAlignment="1">
      <alignment horizontal="center" wrapText="1"/>
    </xf>
    <xf numFmtId="0" fontId="7" fillId="0" borderId="0" xfId="0" applyFont="1"/>
    <xf numFmtId="0" fontId="4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23" fillId="0" borderId="5" xfId="0" applyFont="1" applyBorder="1" applyAlignment="1">
      <alignment horizontal="right" vertical="center"/>
    </xf>
    <xf numFmtId="0" fontId="4" fillId="0" borderId="1" xfId="0" quotePrefix="1" applyFont="1" applyBorder="1" applyAlignment="1">
      <alignment horizontal="left" wrapText="1"/>
    </xf>
    <xf numFmtId="0" fontId="4" fillId="0" borderId="2" xfId="0" quotePrefix="1" applyFont="1" applyBorder="1" applyAlignment="1">
      <alignment horizontal="left" wrapText="1"/>
    </xf>
    <xf numFmtId="0" fontId="4" fillId="0" borderId="2" xfId="0" quotePrefix="1" applyFont="1" applyBorder="1" applyAlignment="1">
      <alignment horizontal="center" wrapText="1"/>
    </xf>
    <xf numFmtId="0" fontId="4" fillId="0" borderId="2" xfId="0" quotePrefix="1" applyFont="1" applyBorder="1" applyAlignment="1">
      <alignment horizontal="left"/>
    </xf>
    <xf numFmtId="0" fontId="4" fillId="2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vertical="center"/>
    </xf>
    <xf numFmtId="3" fontId="4" fillId="3" borderId="3" xfId="0" applyNumberFormat="1" applyFont="1" applyFill="1" applyBorder="1" applyAlignment="1">
      <alignment horizontal="right"/>
    </xf>
    <xf numFmtId="4" fontId="4" fillId="3" borderId="3" xfId="0" applyNumberFormat="1" applyFont="1" applyFill="1" applyBorder="1" applyAlignment="1">
      <alignment horizontal="center"/>
    </xf>
    <xf numFmtId="3" fontId="4" fillId="0" borderId="3" xfId="0" applyNumberFormat="1" applyFont="1" applyBorder="1" applyAlignment="1">
      <alignment horizontal="right"/>
    </xf>
    <xf numFmtId="4" fontId="4" fillId="0" borderId="3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left" vertical="center"/>
    </xf>
    <xf numFmtId="3" fontId="4" fillId="3" borderId="3" xfId="0" applyNumberFormat="1" applyFont="1" applyFill="1" applyBorder="1" applyAlignment="1">
      <alignment horizontal="right" wrapText="1"/>
    </xf>
    <xf numFmtId="4" fontId="4" fillId="3" borderId="3" xfId="0" applyNumberFormat="1" applyFont="1" applyFill="1" applyBorder="1" applyAlignment="1">
      <alignment horizontal="center" wrapText="1"/>
    </xf>
    <xf numFmtId="0" fontId="9" fillId="0" borderId="0" xfId="0" applyFont="1"/>
    <xf numFmtId="0" fontId="18" fillId="0" borderId="0" xfId="0" applyFont="1"/>
    <xf numFmtId="3" fontId="4" fillId="0" borderId="3" xfId="0" applyNumberFormat="1" applyFont="1" applyBorder="1" applyAlignment="1">
      <alignment horizontal="center"/>
    </xf>
    <xf numFmtId="0" fontId="4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21" fillId="2" borderId="3" xfId="0" quotePrefix="1" applyFont="1" applyFill="1" applyBorder="1" applyAlignment="1">
      <alignment horizontal="left" vertical="center"/>
    </xf>
    <xf numFmtId="0" fontId="4" fillId="5" borderId="3" xfId="0" applyFont="1" applyFill="1" applyBorder="1" applyAlignment="1">
      <alignment vertical="center" wrapText="1"/>
    </xf>
    <xf numFmtId="3" fontId="4" fillId="2" borderId="3" xfId="0" quotePrefix="1" applyNumberFormat="1" applyFont="1" applyFill="1" applyBorder="1" applyAlignment="1">
      <alignment horizontal="right"/>
    </xf>
    <xf numFmtId="4" fontId="4" fillId="2" borderId="3" xfId="0" quotePrefix="1" applyNumberFormat="1" applyFont="1" applyFill="1" applyBorder="1" applyAlignment="1">
      <alignment horizontal="center"/>
    </xf>
    <xf numFmtId="0" fontId="4" fillId="2" borderId="3" xfId="0" quotePrefix="1" applyFont="1" applyFill="1" applyBorder="1" applyAlignment="1">
      <alignment horizontal="left" vertical="center"/>
    </xf>
    <xf numFmtId="0" fontId="4" fillId="0" borderId="3" xfId="0" quotePrefix="1" applyFont="1" applyBorder="1" applyAlignment="1">
      <alignment horizontal="left" vertical="center"/>
    </xf>
    <xf numFmtId="0" fontId="21" fillId="0" borderId="3" xfId="0" quotePrefix="1" applyFont="1" applyBorder="1" applyAlignment="1">
      <alignment horizontal="left" vertical="center"/>
    </xf>
    <xf numFmtId="3" fontId="4" fillId="0" borderId="4" xfId="0" applyNumberFormat="1" applyFont="1" applyBorder="1" applyAlignment="1">
      <alignment horizontal="right"/>
    </xf>
    <xf numFmtId="0" fontId="4" fillId="0" borderId="3" xfId="0" quotePrefix="1" applyFont="1" applyBorder="1" applyAlignment="1">
      <alignment horizontal="left" vertical="center" wrapText="1"/>
    </xf>
    <xf numFmtId="0" fontId="4" fillId="2" borderId="3" xfId="0" quotePrefix="1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vertical="center" wrapText="1"/>
    </xf>
    <xf numFmtId="0" fontId="19" fillId="0" borderId="3" xfId="0" applyFont="1" applyBorder="1" applyAlignment="1">
      <alignment horizontal="left"/>
    </xf>
    <xf numFmtId="0" fontId="19" fillId="0" borderId="3" xfId="0" applyFont="1" applyBorder="1"/>
    <xf numFmtId="0" fontId="4" fillId="0" borderId="3" xfId="0" applyFont="1" applyBorder="1" applyAlignment="1">
      <alignment wrapText="1"/>
    </xf>
    <xf numFmtId="3" fontId="19" fillId="0" borderId="3" xfId="0" applyNumberFormat="1" applyFont="1" applyBorder="1"/>
    <xf numFmtId="4" fontId="19" fillId="0" borderId="3" xfId="0" applyNumberFormat="1" applyFont="1" applyBorder="1" applyAlignment="1">
      <alignment horizontal="center"/>
    </xf>
    <xf numFmtId="0" fontId="4" fillId="0" borderId="0" xfId="0" applyFont="1" applyAlignment="1">
      <alignment vertical="center" wrapText="1"/>
    </xf>
    <xf numFmtId="0" fontId="20" fillId="0" borderId="0" xfId="0" applyFont="1" applyAlignment="1">
      <alignment horizontal="right" vertical="center" wrapText="1"/>
    </xf>
    <xf numFmtId="0" fontId="21" fillId="2" borderId="3" xfId="0" quotePrefix="1" applyFont="1" applyFill="1" applyBorder="1" applyAlignment="1">
      <alignment horizontal="left" vertical="center" wrapText="1"/>
    </xf>
    <xf numFmtId="0" fontId="24" fillId="0" borderId="3" xfId="0" applyFont="1" applyBorder="1" applyAlignment="1">
      <alignment horizontal="left"/>
    </xf>
    <xf numFmtId="0" fontId="24" fillId="0" borderId="3" xfId="0" applyFont="1" applyBorder="1"/>
    <xf numFmtId="0" fontId="19" fillId="0" borderId="0" xfId="0" applyFont="1"/>
    <xf numFmtId="0" fontId="19" fillId="0" borderId="0" xfId="0" applyFont="1" applyAlignment="1">
      <alignment horizontal="right"/>
    </xf>
    <xf numFmtId="3" fontId="21" fillId="2" borderId="3" xfId="0" applyNumberFormat="1" applyFont="1" applyFill="1" applyBorder="1" applyAlignment="1">
      <alignment horizontal="right"/>
    </xf>
    <xf numFmtId="4" fontId="21" fillId="2" borderId="3" xfId="0" applyNumberFormat="1" applyFont="1" applyFill="1" applyBorder="1" applyAlignment="1">
      <alignment horizontal="center"/>
    </xf>
    <xf numFmtId="3" fontId="21" fillId="0" borderId="3" xfId="0" applyNumberFormat="1" applyFont="1" applyBorder="1" applyAlignment="1">
      <alignment horizontal="right"/>
    </xf>
    <xf numFmtId="4" fontId="21" fillId="0" borderId="3" xfId="0" applyNumberFormat="1" applyFont="1" applyBorder="1" applyAlignment="1">
      <alignment horizontal="center"/>
    </xf>
    <xf numFmtId="0" fontId="24" fillId="0" borderId="3" xfId="0" applyFont="1" applyBorder="1" applyAlignment="1">
      <alignment horizontal="left" vertical="center"/>
    </xf>
    <xf numFmtId="0" fontId="25" fillId="4" borderId="3" xfId="0" applyFont="1" applyFill="1" applyBorder="1" applyAlignment="1">
      <alignment horizontal="center" vertical="center" wrapText="1"/>
    </xf>
    <xf numFmtId="0" fontId="25" fillId="4" borderId="4" xfId="0" applyFont="1" applyFill="1" applyBorder="1" applyAlignment="1">
      <alignment horizontal="center" vertical="center" wrapText="1"/>
    </xf>
    <xf numFmtId="0" fontId="25" fillId="5" borderId="3" xfId="0" applyFont="1" applyFill="1" applyBorder="1" applyAlignment="1">
      <alignment horizontal="left" vertical="center" wrapText="1"/>
    </xf>
    <xf numFmtId="3" fontId="25" fillId="5" borderId="4" xfId="0" applyNumberFormat="1" applyFont="1" applyFill="1" applyBorder="1" applyAlignment="1">
      <alignment horizontal="right"/>
    </xf>
    <xf numFmtId="3" fontId="25" fillId="5" borderId="3" xfId="0" applyNumberFormat="1" applyFont="1" applyFill="1" applyBorder="1" applyAlignment="1">
      <alignment horizontal="right"/>
    </xf>
    <xf numFmtId="3" fontId="25" fillId="5" borderId="3" xfId="0" applyNumberFormat="1" applyFont="1" applyFill="1" applyBorder="1" applyAlignment="1">
      <alignment horizontal="center"/>
    </xf>
    <xf numFmtId="0" fontId="25" fillId="2" borderId="3" xfId="0" applyFont="1" applyFill="1" applyBorder="1" applyAlignment="1">
      <alignment horizontal="left" vertical="center" wrapText="1"/>
    </xf>
    <xf numFmtId="3" fontId="25" fillId="2" borderId="4" xfId="0" applyNumberFormat="1" applyFont="1" applyFill="1" applyBorder="1" applyAlignment="1">
      <alignment horizontal="right"/>
    </xf>
    <xf numFmtId="3" fontId="25" fillId="2" borderId="3" xfId="0" applyNumberFormat="1" applyFont="1" applyFill="1" applyBorder="1" applyAlignment="1">
      <alignment horizontal="right"/>
    </xf>
    <xf numFmtId="3" fontId="25" fillId="2" borderId="3" xfId="0" applyNumberFormat="1" applyFont="1" applyFill="1" applyBorder="1" applyAlignment="1">
      <alignment horizontal="center"/>
    </xf>
    <xf numFmtId="0" fontId="25" fillId="2" borderId="3" xfId="0" quotePrefix="1" applyFont="1" applyFill="1" applyBorder="1" applyAlignment="1">
      <alignment horizontal="left" vertical="center"/>
    </xf>
    <xf numFmtId="0" fontId="26" fillId="2" borderId="3" xfId="0" quotePrefix="1" applyFont="1" applyFill="1" applyBorder="1" applyAlignment="1">
      <alignment horizontal="left" vertical="center"/>
    </xf>
    <xf numFmtId="0" fontId="26" fillId="2" borderId="3" xfId="0" quotePrefix="1" applyFont="1" applyFill="1" applyBorder="1" applyAlignment="1">
      <alignment horizontal="left" vertical="center" wrapText="1"/>
    </xf>
    <xf numFmtId="0" fontId="25" fillId="5" borderId="3" xfId="0" applyFont="1" applyFill="1" applyBorder="1" applyAlignment="1">
      <alignment horizontal="left" vertical="center"/>
    </xf>
    <xf numFmtId="0" fontId="25" fillId="5" borderId="3" xfId="0" applyFont="1" applyFill="1" applyBorder="1" applyAlignment="1">
      <alignment vertical="center" wrapText="1"/>
    </xf>
    <xf numFmtId="4" fontId="25" fillId="5" borderId="3" xfId="0" applyNumberFormat="1" applyFont="1" applyFill="1" applyBorder="1" applyAlignment="1">
      <alignment horizontal="center"/>
    </xf>
    <xf numFmtId="0" fontId="25" fillId="2" borderId="3" xfId="0" applyFont="1" applyFill="1" applyBorder="1" applyAlignment="1">
      <alignment vertical="center" wrapText="1"/>
    </xf>
    <xf numFmtId="4" fontId="25" fillId="2" borderId="3" xfId="0" applyNumberFormat="1" applyFont="1" applyFill="1" applyBorder="1" applyAlignment="1">
      <alignment horizontal="center" wrapText="1"/>
    </xf>
    <xf numFmtId="0" fontId="21" fillId="2" borderId="3" xfId="0" applyFont="1" applyFill="1" applyBorder="1" applyAlignment="1">
      <alignment horizontal="left" vertical="center"/>
    </xf>
    <xf numFmtId="0" fontId="21" fillId="2" borderId="3" xfId="0" applyFont="1" applyFill="1" applyBorder="1" applyAlignment="1">
      <alignment horizontal="left" vertical="center" wrapText="1"/>
    </xf>
    <xf numFmtId="0" fontId="21" fillId="0" borderId="3" xfId="0" applyFont="1" applyBorder="1"/>
    <xf numFmtId="0" fontId="24" fillId="0" borderId="3" xfId="0" applyFont="1" applyBorder="1" applyAlignment="1">
      <alignment wrapText="1"/>
    </xf>
    <xf numFmtId="0" fontId="4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4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22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2" fillId="0" borderId="1" xfId="0" quotePrefix="1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19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9" fillId="0" borderId="0" xfId="0" applyFont="1" applyAlignment="1">
      <alignment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horizontal="left" vertical="center" wrapText="1" indent="1"/>
    </xf>
    <xf numFmtId="0" fontId="4" fillId="2" borderId="4" xfId="0" applyFont="1" applyFill="1" applyBorder="1" applyAlignment="1">
      <alignment horizontal="left" vertical="center" wrapText="1" inden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4" fillId="8" borderId="2" xfId="0" applyFont="1" applyFill="1" applyBorder="1" applyAlignment="1">
      <alignment horizontal="left" vertical="center" wrapText="1"/>
    </xf>
    <xf numFmtId="0" fontId="4" fillId="8" borderId="4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7" borderId="4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4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4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center" wrapText="1" indent="1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3" fontId="4" fillId="2" borderId="0" xfId="0" applyNumberFormat="1" applyFont="1" applyFill="1" applyAlignment="1">
      <alignment horizontal="center"/>
    </xf>
    <xf numFmtId="3" fontId="22" fillId="2" borderId="0" xfId="0" applyNumberFormat="1" applyFont="1" applyFill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7"/>
  <sheetViews>
    <sheetView zoomScaleNormal="100" workbookViewId="0">
      <selection sqref="A1:J1"/>
    </sheetView>
  </sheetViews>
  <sheetFormatPr defaultColWidth="8.85546875" defaultRowHeight="15" x14ac:dyDescent="0.25"/>
  <cols>
    <col min="1" max="4" width="8.85546875" style="1"/>
    <col min="5" max="5" width="25.28515625" style="1" customWidth="1"/>
    <col min="6" max="7" width="25.28515625" style="1" hidden="1" customWidth="1"/>
    <col min="8" max="10" width="25.28515625" style="1" customWidth="1"/>
    <col min="11" max="16384" width="8.85546875" style="1"/>
  </cols>
  <sheetData>
    <row r="1" spans="1:11" x14ac:dyDescent="0.25">
      <c r="A1" s="168" t="s">
        <v>288</v>
      </c>
      <c r="B1" s="168"/>
      <c r="C1" s="168"/>
      <c r="D1" s="168"/>
      <c r="E1" s="168"/>
      <c r="F1" s="168"/>
      <c r="G1" s="168"/>
      <c r="H1" s="168"/>
      <c r="I1" s="168"/>
      <c r="J1" s="168"/>
    </row>
    <row r="2" spans="1:11" ht="42" customHeight="1" x14ac:dyDescent="0.25">
      <c r="A2" s="166" t="s">
        <v>286</v>
      </c>
      <c r="B2" s="166"/>
      <c r="C2" s="166"/>
      <c r="D2" s="166"/>
      <c r="E2" s="166"/>
      <c r="F2" s="166"/>
      <c r="G2" s="166"/>
      <c r="H2" s="166"/>
      <c r="I2" s="166"/>
      <c r="J2" s="166"/>
      <c r="K2" s="88"/>
    </row>
    <row r="3" spans="1:11" ht="18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88"/>
    </row>
    <row r="4" spans="1:11" ht="15.75" x14ac:dyDescent="0.25">
      <c r="A4" s="166" t="s">
        <v>39</v>
      </c>
      <c r="B4" s="166"/>
      <c r="C4" s="166"/>
      <c r="D4" s="166"/>
      <c r="E4" s="166"/>
      <c r="F4" s="166"/>
      <c r="G4" s="166"/>
      <c r="H4" s="166"/>
      <c r="I4" s="184"/>
      <c r="J4" s="184"/>
      <c r="K4" s="88"/>
    </row>
    <row r="5" spans="1:11" ht="15.75" x14ac:dyDescent="0.25">
      <c r="A5" s="40"/>
      <c r="B5" s="40"/>
      <c r="C5" s="40"/>
      <c r="D5" s="40"/>
      <c r="E5" s="40"/>
      <c r="F5" s="40"/>
      <c r="G5" s="40"/>
      <c r="H5" s="40"/>
      <c r="I5" s="41"/>
      <c r="J5" s="41"/>
      <c r="K5" s="88"/>
    </row>
    <row r="6" spans="1:11" ht="18" customHeight="1" x14ac:dyDescent="0.25">
      <c r="A6" s="166" t="s">
        <v>48</v>
      </c>
      <c r="B6" s="167"/>
      <c r="C6" s="167"/>
      <c r="D6" s="167"/>
      <c r="E6" s="167"/>
      <c r="F6" s="167"/>
      <c r="G6" s="167"/>
      <c r="H6" s="167"/>
      <c r="I6" s="167"/>
      <c r="J6" s="167"/>
      <c r="K6" s="88"/>
    </row>
    <row r="7" spans="1:11" ht="15.75" x14ac:dyDescent="0.25">
      <c r="A7" s="89"/>
      <c r="B7" s="23"/>
      <c r="C7" s="23"/>
      <c r="D7" s="23"/>
      <c r="E7" s="90"/>
      <c r="F7" s="91"/>
      <c r="G7" s="91"/>
      <c r="H7" s="91"/>
      <c r="I7" s="91"/>
      <c r="J7" s="92">
        <v>100</v>
      </c>
      <c r="K7" s="88"/>
    </row>
    <row r="8" spans="1:11" ht="15.75" x14ac:dyDescent="0.25">
      <c r="A8" s="93"/>
      <c r="B8" s="94"/>
      <c r="C8" s="94"/>
      <c r="D8" s="95"/>
      <c r="E8" s="96"/>
      <c r="F8" s="97" t="s">
        <v>49</v>
      </c>
      <c r="G8" s="97" t="s">
        <v>50</v>
      </c>
      <c r="H8" s="97" t="s">
        <v>11</v>
      </c>
      <c r="I8" s="97" t="s">
        <v>281</v>
      </c>
      <c r="J8" s="97" t="s">
        <v>277</v>
      </c>
      <c r="K8" s="88"/>
    </row>
    <row r="9" spans="1:11" ht="15.75" x14ac:dyDescent="0.25">
      <c r="A9" s="185" t="s">
        <v>0</v>
      </c>
      <c r="B9" s="177"/>
      <c r="C9" s="177"/>
      <c r="D9" s="177"/>
      <c r="E9" s="186"/>
      <c r="F9" s="99">
        <v>0</v>
      </c>
      <c r="G9" s="99">
        <v>0</v>
      </c>
      <c r="H9" s="99">
        <f>H10+H11</f>
        <v>1863747</v>
      </c>
      <c r="I9" s="99">
        <v>1615255</v>
      </c>
      <c r="J9" s="100">
        <f>(I9/H9)*$J$7</f>
        <v>86.667074447336461</v>
      </c>
      <c r="K9" s="88"/>
    </row>
    <row r="10" spans="1:11" ht="15.75" x14ac:dyDescent="0.25">
      <c r="A10" s="173" t="s">
        <v>1</v>
      </c>
      <c r="B10" s="165"/>
      <c r="C10" s="165"/>
      <c r="D10" s="165"/>
      <c r="E10" s="163"/>
      <c r="F10" s="101"/>
      <c r="G10" s="101"/>
      <c r="H10" s="101">
        <v>1863747</v>
      </c>
      <c r="I10" s="101">
        <v>1615255</v>
      </c>
      <c r="J10" s="102">
        <f t="shared" ref="J10:J14" si="0">(I10/H10)*$J$7</f>
        <v>86.667074447336461</v>
      </c>
      <c r="K10" s="88"/>
    </row>
    <row r="11" spans="1:11" ht="15.75" x14ac:dyDescent="0.25">
      <c r="A11" s="162" t="s">
        <v>2</v>
      </c>
      <c r="B11" s="163"/>
      <c r="C11" s="163"/>
      <c r="D11" s="163"/>
      <c r="E11" s="163"/>
      <c r="F11" s="101"/>
      <c r="G11" s="101"/>
      <c r="H11" s="101">
        <v>0</v>
      </c>
      <c r="I11" s="101">
        <v>0</v>
      </c>
      <c r="J11" s="102"/>
      <c r="K11" s="88"/>
    </row>
    <row r="12" spans="1:11" ht="15.75" x14ac:dyDescent="0.25">
      <c r="A12" s="103" t="s">
        <v>3</v>
      </c>
      <c r="B12" s="98"/>
      <c r="C12" s="98"/>
      <c r="D12" s="98"/>
      <c r="E12" s="98"/>
      <c r="F12" s="99">
        <v>0</v>
      </c>
      <c r="G12" s="99">
        <v>0</v>
      </c>
      <c r="H12" s="99">
        <f>H13+H14</f>
        <v>1837202</v>
      </c>
      <c r="I12" s="99">
        <f>I13+I14</f>
        <v>1596755</v>
      </c>
      <c r="J12" s="100">
        <f t="shared" si="0"/>
        <v>86.912326461652015</v>
      </c>
      <c r="K12" s="88"/>
    </row>
    <row r="13" spans="1:11" ht="15.75" x14ac:dyDescent="0.25">
      <c r="A13" s="164" t="s">
        <v>4</v>
      </c>
      <c r="B13" s="165"/>
      <c r="C13" s="165"/>
      <c r="D13" s="165"/>
      <c r="E13" s="165"/>
      <c r="F13" s="101"/>
      <c r="G13" s="101"/>
      <c r="H13" s="101">
        <v>613312</v>
      </c>
      <c r="I13" s="101">
        <f>' Račun prihoda i rashoda'!H30</f>
        <v>749755</v>
      </c>
      <c r="J13" s="102">
        <f t="shared" si="0"/>
        <v>122.24691511009078</v>
      </c>
      <c r="K13" s="88"/>
    </row>
    <row r="14" spans="1:11" ht="15.75" x14ac:dyDescent="0.25">
      <c r="A14" s="162" t="s">
        <v>5</v>
      </c>
      <c r="B14" s="163"/>
      <c r="C14" s="163"/>
      <c r="D14" s="163"/>
      <c r="E14" s="163"/>
      <c r="F14" s="101"/>
      <c r="G14" s="101"/>
      <c r="H14" s="101">
        <v>1223890</v>
      </c>
      <c r="I14" s="101">
        <f>' Račun prihoda i rashoda'!H48-'POSEBNI DIO'!H114</f>
        <v>847000</v>
      </c>
      <c r="J14" s="102">
        <f t="shared" si="0"/>
        <v>69.205565859676938</v>
      </c>
      <c r="K14" s="88"/>
    </row>
    <row r="15" spans="1:11" ht="15.75" x14ac:dyDescent="0.25">
      <c r="A15" s="176"/>
      <c r="B15" s="177"/>
      <c r="C15" s="177"/>
      <c r="D15" s="177"/>
      <c r="E15" s="177"/>
      <c r="F15" s="99">
        <v>0</v>
      </c>
      <c r="G15" s="99">
        <v>0</v>
      </c>
      <c r="H15" s="104"/>
      <c r="I15" s="104"/>
      <c r="J15" s="105"/>
      <c r="K15" s="88"/>
    </row>
    <row r="16" spans="1:11" ht="15.75" x14ac:dyDescent="0.25">
      <c r="A16" s="40"/>
      <c r="B16" s="42"/>
      <c r="C16" s="42"/>
      <c r="D16" s="42"/>
      <c r="E16" s="42"/>
      <c r="F16" s="42"/>
      <c r="G16" s="42"/>
      <c r="H16" s="106"/>
      <c r="I16" s="106"/>
      <c r="J16" s="106"/>
      <c r="K16" s="88"/>
    </row>
    <row r="17" spans="1:11" ht="18" customHeight="1" x14ac:dyDescent="0.25">
      <c r="A17" s="166" t="s">
        <v>47</v>
      </c>
      <c r="B17" s="167"/>
      <c r="C17" s="167"/>
      <c r="D17" s="167"/>
      <c r="E17" s="167"/>
      <c r="F17" s="167"/>
      <c r="G17" s="167"/>
      <c r="H17" s="167"/>
      <c r="I17" s="167"/>
      <c r="J17" s="167"/>
      <c r="K17" s="88"/>
    </row>
    <row r="18" spans="1:11" ht="15.75" x14ac:dyDescent="0.25">
      <c r="A18" s="40"/>
      <c r="B18" s="42"/>
      <c r="C18" s="42"/>
      <c r="D18" s="42"/>
      <c r="E18" s="42"/>
      <c r="F18" s="42"/>
      <c r="G18" s="42"/>
      <c r="H18" s="106"/>
      <c r="I18" s="106"/>
      <c r="J18" s="107">
        <v>100</v>
      </c>
      <c r="K18" s="88"/>
    </row>
    <row r="19" spans="1:11" ht="15.75" x14ac:dyDescent="0.25">
      <c r="A19" s="93"/>
      <c r="B19" s="94"/>
      <c r="C19" s="94"/>
      <c r="D19" s="95"/>
      <c r="E19" s="96"/>
      <c r="F19" s="97" t="s">
        <v>9</v>
      </c>
      <c r="G19" s="97" t="s">
        <v>10</v>
      </c>
      <c r="H19" s="97" t="s">
        <v>11</v>
      </c>
      <c r="I19" s="97" t="s">
        <v>281</v>
      </c>
      <c r="J19" s="97" t="s">
        <v>277</v>
      </c>
      <c r="K19" s="88"/>
    </row>
    <row r="20" spans="1:11" ht="15.75" customHeight="1" x14ac:dyDescent="0.25">
      <c r="A20" s="173" t="s">
        <v>6</v>
      </c>
      <c r="B20" s="174"/>
      <c r="C20" s="174"/>
      <c r="D20" s="174"/>
      <c r="E20" s="175"/>
      <c r="F20" s="101"/>
      <c r="G20" s="101"/>
      <c r="H20" s="101">
        <v>0</v>
      </c>
      <c r="I20" s="101">
        <v>0</v>
      </c>
      <c r="J20" s="108"/>
      <c r="K20" s="88"/>
    </row>
    <row r="21" spans="1:11" ht="15.75" x14ac:dyDescent="0.25">
      <c r="A21" s="173" t="s">
        <v>7</v>
      </c>
      <c r="B21" s="165"/>
      <c r="C21" s="165"/>
      <c r="D21" s="165"/>
      <c r="E21" s="165"/>
      <c r="F21" s="101"/>
      <c r="G21" s="101"/>
      <c r="H21" s="101">
        <v>26545</v>
      </c>
      <c r="I21" s="101">
        <f>'Račun financiranja'!H11</f>
        <v>18500</v>
      </c>
      <c r="J21" s="102">
        <f>(I21/H21)*$J$18</f>
        <v>69.692974194763607</v>
      </c>
      <c r="K21" s="88"/>
    </row>
    <row r="22" spans="1:11" ht="15.75" x14ac:dyDescent="0.25">
      <c r="A22" s="176" t="s">
        <v>8</v>
      </c>
      <c r="B22" s="177"/>
      <c r="C22" s="177"/>
      <c r="D22" s="177"/>
      <c r="E22" s="177"/>
      <c r="F22" s="99">
        <v>0</v>
      </c>
      <c r="G22" s="99">
        <v>0</v>
      </c>
      <c r="H22" s="99">
        <v>-26545</v>
      </c>
      <c r="I22" s="99">
        <f>-I21</f>
        <v>-18500</v>
      </c>
      <c r="J22" s="100">
        <f>(I22/H22)*$J$18</f>
        <v>69.692974194763607</v>
      </c>
      <c r="K22" s="88"/>
    </row>
    <row r="23" spans="1:11" ht="15.75" x14ac:dyDescent="0.25">
      <c r="A23" s="109"/>
      <c r="B23" s="42"/>
      <c r="C23" s="42"/>
      <c r="D23" s="42"/>
      <c r="E23" s="42"/>
      <c r="F23" s="42"/>
      <c r="G23" s="42"/>
      <c r="H23" s="106"/>
      <c r="I23" s="106"/>
      <c r="J23" s="106"/>
      <c r="K23" s="88"/>
    </row>
    <row r="24" spans="1:11" ht="18" customHeight="1" x14ac:dyDescent="0.25">
      <c r="A24" s="166"/>
      <c r="B24" s="167"/>
      <c r="C24" s="167"/>
      <c r="D24" s="167"/>
      <c r="E24" s="167"/>
      <c r="F24" s="167"/>
      <c r="G24" s="167"/>
      <c r="H24" s="167"/>
      <c r="I24" s="167"/>
      <c r="J24" s="167"/>
    </row>
    <row r="25" spans="1:11" ht="18" x14ac:dyDescent="0.25">
      <c r="A25" s="19"/>
      <c r="B25" s="17"/>
      <c r="C25" s="17"/>
      <c r="D25" s="17"/>
      <c r="E25" s="17"/>
      <c r="F25" s="17"/>
      <c r="G25" s="17"/>
      <c r="H25" s="18"/>
      <c r="I25" s="18"/>
      <c r="J25" s="38"/>
    </row>
    <row r="26" spans="1:11" x14ac:dyDescent="0.25">
      <c r="A26" s="11"/>
      <c r="B26" s="12"/>
      <c r="C26" s="12"/>
      <c r="D26" s="13"/>
      <c r="E26" s="14"/>
      <c r="F26" s="15"/>
      <c r="G26" s="15"/>
      <c r="H26" s="15"/>
      <c r="I26" s="15"/>
      <c r="J26" s="15"/>
    </row>
    <row r="27" spans="1:11" x14ac:dyDescent="0.25">
      <c r="A27" s="178"/>
      <c r="B27" s="179"/>
      <c r="C27" s="179"/>
      <c r="D27" s="179"/>
      <c r="E27" s="180"/>
      <c r="F27" s="20"/>
      <c r="G27" s="20"/>
      <c r="H27" s="20"/>
      <c r="I27" s="20"/>
      <c r="J27" s="39"/>
    </row>
    <row r="28" spans="1:11" ht="30" customHeight="1" x14ac:dyDescent="0.25">
      <c r="A28" s="181"/>
      <c r="B28" s="182"/>
      <c r="C28" s="182"/>
      <c r="D28" s="182"/>
      <c r="E28" s="183"/>
      <c r="F28" s="21"/>
      <c r="G28" s="21"/>
      <c r="H28" s="21"/>
      <c r="I28" s="21"/>
      <c r="J28" s="35"/>
    </row>
    <row r="31" spans="1:11" x14ac:dyDescent="0.25">
      <c r="A31" s="171"/>
      <c r="B31" s="172"/>
      <c r="C31" s="172"/>
      <c r="D31" s="172"/>
      <c r="E31" s="172"/>
      <c r="F31" s="16"/>
      <c r="G31" s="16"/>
      <c r="H31" s="16"/>
      <c r="I31" s="16"/>
      <c r="J31" s="16"/>
    </row>
    <row r="32" spans="1:11" ht="11.25" customHeight="1" x14ac:dyDescent="0.25">
      <c r="A32" s="22"/>
      <c r="B32" s="23"/>
      <c r="C32" s="23"/>
      <c r="D32" s="23"/>
      <c r="E32" s="23"/>
      <c r="F32" s="24"/>
      <c r="G32" s="24"/>
      <c r="H32" s="24"/>
      <c r="I32" s="24"/>
      <c r="J32" s="24"/>
    </row>
    <row r="33" spans="1:10" ht="29.25" customHeight="1" x14ac:dyDescent="0.25">
      <c r="A33" s="169"/>
      <c r="B33" s="170"/>
      <c r="C33" s="170"/>
      <c r="D33" s="170"/>
      <c r="E33" s="170"/>
      <c r="F33" s="170"/>
      <c r="G33" s="170"/>
      <c r="H33" s="170"/>
      <c r="I33" s="170"/>
      <c r="J33" s="170"/>
    </row>
    <row r="34" spans="1:10" ht="8.25" customHeight="1" x14ac:dyDescent="0.25"/>
    <row r="35" spans="1:10" x14ac:dyDescent="0.25">
      <c r="A35" s="169"/>
      <c r="B35" s="170"/>
      <c r="C35" s="170"/>
      <c r="D35" s="170"/>
      <c r="E35" s="170"/>
      <c r="F35" s="170"/>
      <c r="G35" s="170"/>
      <c r="H35" s="170"/>
      <c r="I35" s="170"/>
      <c r="J35" s="170"/>
    </row>
    <row r="36" spans="1:10" ht="8.25" customHeight="1" x14ac:dyDescent="0.25"/>
    <row r="37" spans="1:10" ht="29.25" customHeight="1" x14ac:dyDescent="0.25">
      <c r="A37" s="169"/>
      <c r="B37" s="170"/>
      <c r="C37" s="170"/>
      <c r="D37" s="170"/>
      <c r="E37" s="170"/>
      <c r="F37" s="170"/>
      <c r="G37" s="170"/>
      <c r="H37" s="170"/>
      <c r="I37" s="170"/>
      <c r="J37" s="170"/>
    </row>
  </sheetData>
  <mergeCells count="21">
    <mergeCell ref="A1:J1"/>
    <mergeCell ref="A37:J37"/>
    <mergeCell ref="A33:J33"/>
    <mergeCell ref="A31:E31"/>
    <mergeCell ref="A35:J35"/>
    <mergeCell ref="A20:E20"/>
    <mergeCell ref="A21:E21"/>
    <mergeCell ref="A22:E22"/>
    <mergeCell ref="A14:E14"/>
    <mergeCell ref="A15:E15"/>
    <mergeCell ref="A27:E27"/>
    <mergeCell ref="A28:E28"/>
    <mergeCell ref="A2:J2"/>
    <mergeCell ref="A4:J4"/>
    <mergeCell ref="A9:E9"/>
    <mergeCell ref="A10:E10"/>
    <mergeCell ref="A11:E11"/>
    <mergeCell ref="A13:E13"/>
    <mergeCell ref="A6:J6"/>
    <mergeCell ref="A17:J17"/>
    <mergeCell ref="A24:J24"/>
  </mergeCells>
  <pageMargins left="0.70866141732283472" right="0.70866141732283472" top="0.74803149606299213" bottom="0.74803149606299213" header="0.31496062992125984" footer="0.31496062992125984"/>
  <pageSetup paperSize="9" scale="79" orientation="landscape" useFirstPageNumber="1" r:id="rId1"/>
  <headerFooter>
    <oddFooter>&amp;C1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5"/>
  <sheetViews>
    <sheetView topLeftCell="A24" zoomScaleNormal="100" workbookViewId="0">
      <selection activeCell="O39" sqref="O39"/>
    </sheetView>
  </sheetViews>
  <sheetFormatPr defaultColWidth="9.140625" defaultRowHeight="15" x14ac:dyDescent="0.25"/>
  <cols>
    <col min="1" max="1" width="7.42578125" style="1" bestFit="1" customWidth="1"/>
    <col min="2" max="2" width="8.42578125" style="1" bestFit="1" customWidth="1"/>
    <col min="3" max="3" width="5.42578125" style="1" bestFit="1" customWidth="1"/>
    <col min="4" max="4" width="25.28515625" style="1" customWidth="1"/>
    <col min="5" max="6" width="25.28515625" style="1" hidden="1" customWidth="1"/>
    <col min="7" max="8" width="25.28515625" style="1" customWidth="1"/>
    <col min="9" max="9" width="25.28515625" style="37" customWidth="1"/>
    <col min="10" max="10" width="7" style="1" customWidth="1"/>
    <col min="11" max="11" width="9.140625" style="1"/>
    <col min="12" max="12" width="9.140625" style="26"/>
    <col min="13" max="13" width="19.5703125" style="26" customWidth="1"/>
    <col min="14" max="16" width="9.7109375" style="26" bestFit="1" customWidth="1"/>
    <col min="17" max="16384" width="9.140625" style="1"/>
  </cols>
  <sheetData>
    <row r="1" spans="1:16" ht="42" customHeight="1" x14ac:dyDescent="0.25">
      <c r="A1" s="166" t="s">
        <v>286</v>
      </c>
      <c r="B1" s="166"/>
      <c r="C1" s="166"/>
      <c r="D1" s="166"/>
      <c r="E1" s="166"/>
      <c r="F1" s="166"/>
      <c r="G1" s="166"/>
      <c r="H1" s="166"/>
      <c r="I1" s="166"/>
    </row>
    <row r="2" spans="1:16" ht="18" customHeight="1" x14ac:dyDescent="0.25">
      <c r="A2" s="40"/>
      <c r="B2" s="40"/>
      <c r="C2" s="40"/>
      <c r="D2" s="40"/>
      <c r="E2" s="40"/>
      <c r="F2" s="40"/>
      <c r="G2" s="40"/>
      <c r="H2" s="40"/>
      <c r="I2" s="110"/>
    </row>
    <row r="3" spans="1:16" ht="15.75" x14ac:dyDescent="0.25">
      <c r="A3" s="166" t="s">
        <v>39</v>
      </c>
      <c r="B3" s="166"/>
      <c r="C3" s="166"/>
      <c r="D3" s="166"/>
      <c r="E3" s="166"/>
      <c r="F3" s="166"/>
      <c r="G3" s="166"/>
      <c r="H3" s="188"/>
      <c r="I3" s="188"/>
    </row>
    <row r="4" spans="1:16" ht="15.75" x14ac:dyDescent="0.25">
      <c r="A4" s="40"/>
      <c r="B4" s="40"/>
      <c r="C4" s="40"/>
      <c r="D4" s="40"/>
      <c r="E4" s="40"/>
      <c r="F4" s="40"/>
      <c r="G4" s="40"/>
      <c r="H4" s="128"/>
      <c r="I4" s="110"/>
    </row>
    <row r="5" spans="1:16" ht="18" customHeight="1" x14ac:dyDescent="0.25">
      <c r="A5" s="166" t="s">
        <v>13</v>
      </c>
      <c r="B5" s="189"/>
      <c r="C5" s="189"/>
      <c r="D5" s="189"/>
      <c r="E5" s="189"/>
      <c r="F5" s="189"/>
      <c r="G5" s="189"/>
      <c r="H5" s="189"/>
      <c r="I5" s="189"/>
    </row>
    <row r="6" spans="1:16" ht="15.75" x14ac:dyDescent="0.25">
      <c r="A6" s="40"/>
      <c r="B6" s="40"/>
      <c r="C6" s="40"/>
      <c r="D6" s="40"/>
      <c r="E6" s="40"/>
      <c r="F6" s="40"/>
      <c r="G6" s="40"/>
      <c r="H6" s="128"/>
      <c r="I6" s="110"/>
    </row>
    <row r="7" spans="1:16" ht="15.75" x14ac:dyDescent="0.25">
      <c r="A7" s="166" t="s">
        <v>1</v>
      </c>
      <c r="B7" s="187"/>
      <c r="C7" s="187"/>
      <c r="D7" s="187"/>
      <c r="E7" s="187"/>
      <c r="F7" s="187"/>
      <c r="G7" s="187"/>
      <c r="H7" s="187"/>
      <c r="I7" s="187"/>
      <c r="N7" s="27"/>
      <c r="O7" s="27"/>
      <c r="P7" s="27"/>
    </row>
    <row r="8" spans="1:16" ht="15.75" x14ac:dyDescent="0.25">
      <c r="A8" s="40"/>
      <c r="B8" s="40"/>
      <c r="C8" s="40"/>
      <c r="D8" s="40"/>
      <c r="E8" s="40"/>
      <c r="F8" s="40"/>
      <c r="G8" s="40"/>
      <c r="H8" s="128"/>
      <c r="I8" s="129">
        <v>100</v>
      </c>
      <c r="N8" s="27"/>
      <c r="O8" s="27"/>
      <c r="P8" s="27"/>
    </row>
    <row r="9" spans="1:16" ht="31.5" x14ac:dyDescent="0.25">
      <c r="A9" s="43" t="s">
        <v>14</v>
      </c>
      <c r="B9" s="57" t="s">
        <v>15</v>
      </c>
      <c r="C9" s="57" t="s">
        <v>16</v>
      </c>
      <c r="D9" s="57" t="s">
        <v>12</v>
      </c>
      <c r="E9" s="57" t="s">
        <v>9</v>
      </c>
      <c r="F9" s="43" t="s">
        <v>10</v>
      </c>
      <c r="G9" s="44" t="s">
        <v>11</v>
      </c>
      <c r="H9" s="44" t="s">
        <v>281</v>
      </c>
      <c r="I9" s="43" t="s">
        <v>277</v>
      </c>
    </row>
    <row r="10" spans="1:16" ht="15.75" customHeight="1" x14ac:dyDescent="0.25">
      <c r="A10" s="48">
        <v>6</v>
      </c>
      <c r="B10" s="48"/>
      <c r="C10" s="48"/>
      <c r="D10" s="48" t="s">
        <v>17</v>
      </c>
      <c r="E10" s="68"/>
      <c r="F10" s="49"/>
      <c r="G10" s="49">
        <f>G11+G13+G15+G17+G19</f>
        <v>1863747</v>
      </c>
      <c r="H10" s="49">
        <v>1615255</v>
      </c>
      <c r="I10" s="50">
        <f>(H10/G10)*$I$8</f>
        <v>86.667074447336461</v>
      </c>
      <c r="N10" s="28"/>
    </row>
    <row r="11" spans="1:16" ht="15.75" customHeight="1" x14ac:dyDescent="0.25">
      <c r="A11" s="111"/>
      <c r="B11" s="111">
        <v>61</v>
      </c>
      <c r="C11" s="111"/>
      <c r="D11" s="111" t="s">
        <v>18</v>
      </c>
      <c r="E11" s="69"/>
      <c r="F11" s="70"/>
      <c r="G11" s="70">
        <f>225629+10618</f>
        <v>236247</v>
      </c>
      <c r="H11" s="70">
        <v>400000</v>
      </c>
      <c r="I11" s="82">
        <f t="shared" ref="I11:I18" si="0">(H11/G11)*$I$8</f>
        <v>169.31431933527199</v>
      </c>
    </row>
    <row r="12" spans="1:16" ht="15.75" x14ac:dyDescent="0.25">
      <c r="A12" s="116"/>
      <c r="B12" s="116"/>
      <c r="C12" s="112">
        <v>11</v>
      </c>
      <c r="D12" s="112" t="s">
        <v>19</v>
      </c>
      <c r="E12" s="69"/>
      <c r="F12" s="70"/>
      <c r="G12" s="70">
        <f>G11</f>
        <v>236247</v>
      </c>
      <c r="H12" s="70">
        <f>H11</f>
        <v>400000</v>
      </c>
      <c r="I12" s="82">
        <f t="shared" si="0"/>
        <v>169.31431933527199</v>
      </c>
    </row>
    <row r="13" spans="1:16" ht="63" x14ac:dyDescent="0.25">
      <c r="A13" s="116"/>
      <c r="B13" s="116">
        <v>63</v>
      </c>
      <c r="C13" s="112"/>
      <c r="D13" s="121" t="s">
        <v>74</v>
      </c>
      <c r="E13" s="69"/>
      <c r="F13" s="70"/>
      <c r="G13" s="70">
        <f>729975+853726</f>
        <v>1583701</v>
      </c>
      <c r="H13" s="70">
        <v>1176255</v>
      </c>
      <c r="I13" s="82">
        <f t="shared" si="0"/>
        <v>74.272542607474506</v>
      </c>
    </row>
    <row r="14" spans="1:16" ht="15.75" x14ac:dyDescent="0.25">
      <c r="A14" s="116"/>
      <c r="B14" s="116"/>
      <c r="C14" s="118">
        <v>52</v>
      </c>
      <c r="D14" s="130" t="s">
        <v>150</v>
      </c>
      <c r="E14" s="69"/>
      <c r="F14" s="70"/>
      <c r="G14" s="70">
        <f>G13</f>
        <v>1583701</v>
      </c>
      <c r="H14" s="70">
        <f>H13</f>
        <v>1176255</v>
      </c>
      <c r="I14" s="82">
        <f t="shared" si="0"/>
        <v>74.272542607474506</v>
      </c>
    </row>
    <row r="15" spans="1:16" ht="15.75" x14ac:dyDescent="0.25">
      <c r="A15" s="116"/>
      <c r="B15" s="111">
        <v>64</v>
      </c>
      <c r="C15" s="111"/>
      <c r="D15" s="111" t="s">
        <v>52</v>
      </c>
      <c r="E15" s="69"/>
      <c r="F15" s="70"/>
      <c r="G15" s="70">
        <v>3982</v>
      </c>
      <c r="H15" s="70">
        <v>4000</v>
      </c>
      <c r="I15" s="82">
        <f t="shared" si="0"/>
        <v>100.45203415369161</v>
      </c>
    </row>
    <row r="16" spans="1:16" ht="15.75" x14ac:dyDescent="0.25">
      <c r="A16" s="116"/>
      <c r="B16" s="116"/>
      <c r="C16" s="112">
        <v>11</v>
      </c>
      <c r="D16" s="112" t="s">
        <v>19</v>
      </c>
      <c r="E16" s="69"/>
      <c r="F16" s="70"/>
      <c r="G16" s="70">
        <f>SUM(G15)</f>
        <v>3982</v>
      </c>
      <c r="H16" s="70">
        <f>H15</f>
        <v>4000</v>
      </c>
      <c r="I16" s="82">
        <f t="shared" si="0"/>
        <v>100.45203415369161</v>
      </c>
      <c r="K16" s="1" t="s">
        <v>283</v>
      </c>
    </row>
    <row r="17" spans="1:16" ht="78.75" x14ac:dyDescent="0.25">
      <c r="A17" s="116"/>
      <c r="B17" s="116">
        <v>65</v>
      </c>
      <c r="C17" s="112"/>
      <c r="D17" s="121" t="s">
        <v>75</v>
      </c>
      <c r="E17" s="69"/>
      <c r="F17" s="70"/>
      <c r="G17" s="70">
        <v>39817</v>
      </c>
      <c r="H17" s="70">
        <v>35000</v>
      </c>
      <c r="I17" s="82">
        <f t="shared" si="0"/>
        <v>87.902152346987478</v>
      </c>
    </row>
    <row r="18" spans="1:16" ht="15.75" x14ac:dyDescent="0.25">
      <c r="A18" s="116"/>
      <c r="B18" s="116"/>
      <c r="C18" s="118">
        <v>11</v>
      </c>
      <c r="D18" s="130" t="s">
        <v>19</v>
      </c>
      <c r="E18" s="69"/>
      <c r="F18" s="70"/>
      <c r="G18" s="70">
        <f>G17</f>
        <v>39817</v>
      </c>
      <c r="H18" s="70">
        <f>H17</f>
        <v>35000</v>
      </c>
      <c r="I18" s="82">
        <f t="shared" si="0"/>
        <v>87.902152346987478</v>
      </c>
    </row>
    <row r="19" spans="1:16" ht="31.5" x14ac:dyDescent="0.25">
      <c r="A19" s="116"/>
      <c r="B19" s="116">
        <v>68</v>
      </c>
      <c r="C19" s="118"/>
      <c r="D19" s="121" t="s">
        <v>76</v>
      </c>
      <c r="E19" s="69"/>
      <c r="F19" s="70"/>
      <c r="G19" s="70">
        <v>0</v>
      </c>
      <c r="H19" s="70">
        <v>0</v>
      </c>
      <c r="I19" s="70"/>
    </row>
    <row r="20" spans="1:16" ht="15.75" x14ac:dyDescent="0.25">
      <c r="A20" s="116"/>
      <c r="B20" s="116"/>
      <c r="C20" s="118">
        <v>11</v>
      </c>
      <c r="D20" s="112" t="s">
        <v>19</v>
      </c>
      <c r="E20" s="69"/>
      <c r="F20" s="70"/>
      <c r="G20" s="70">
        <v>0</v>
      </c>
      <c r="H20" s="70">
        <v>0</v>
      </c>
      <c r="I20" s="70"/>
    </row>
    <row r="21" spans="1:16" ht="31.5" x14ac:dyDescent="0.25">
      <c r="A21" s="51">
        <v>7</v>
      </c>
      <c r="B21" s="51"/>
      <c r="C21" s="51"/>
      <c r="D21" s="113" t="s">
        <v>20</v>
      </c>
      <c r="E21" s="68"/>
      <c r="F21" s="49"/>
      <c r="G21" s="49">
        <f>SUM(G22,G24)</f>
        <v>0</v>
      </c>
      <c r="H21" s="49">
        <f t="shared" ref="H21" si="1">SUM(H22,H24)</f>
        <v>0</v>
      </c>
      <c r="I21" s="49"/>
    </row>
    <row r="22" spans="1:16" ht="47.25" x14ac:dyDescent="0.25">
      <c r="A22" s="111"/>
      <c r="B22" s="111">
        <v>71</v>
      </c>
      <c r="C22" s="111"/>
      <c r="D22" s="122" t="s">
        <v>21</v>
      </c>
      <c r="E22" s="69"/>
      <c r="F22" s="70"/>
      <c r="G22" s="70">
        <v>0</v>
      </c>
      <c r="H22" s="70">
        <v>0</v>
      </c>
      <c r="I22" s="70"/>
    </row>
    <row r="23" spans="1:16" ht="15.75" x14ac:dyDescent="0.25">
      <c r="A23" s="111"/>
      <c r="B23" s="111"/>
      <c r="C23" s="112">
        <v>31</v>
      </c>
      <c r="D23" s="112" t="s">
        <v>151</v>
      </c>
      <c r="E23" s="69"/>
      <c r="F23" s="70"/>
      <c r="G23" s="70">
        <v>0</v>
      </c>
      <c r="H23" s="70">
        <v>0</v>
      </c>
      <c r="I23" s="70"/>
    </row>
    <row r="24" spans="1:16" ht="47.25" x14ac:dyDescent="0.25">
      <c r="A24" s="124"/>
      <c r="B24" s="123">
        <v>72</v>
      </c>
      <c r="C24" s="124"/>
      <c r="D24" s="125" t="s">
        <v>77</v>
      </c>
      <c r="E24" s="124"/>
      <c r="F24" s="124"/>
      <c r="G24" s="126">
        <v>0</v>
      </c>
      <c r="H24" s="126">
        <v>0</v>
      </c>
      <c r="I24" s="126"/>
    </row>
    <row r="25" spans="1:16" ht="15.75" x14ac:dyDescent="0.25">
      <c r="A25" s="124"/>
      <c r="B25" s="124"/>
      <c r="C25" s="131">
        <v>31</v>
      </c>
      <c r="D25" s="132" t="s">
        <v>151</v>
      </c>
      <c r="E25" s="124"/>
      <c r="F25" s="124"/>
      <c r="G25" s="126">
        <v>0</v>
      </c>
      <c r="H25" s="126">
        <v>0</v>
      </c>
      <c r="I25" s="126"/>
    </row>
    <row r="26" spans="1:16" ht="15.75" x14ac:dyDescent="0.25">
      <c r="A26" s="133"/>
      <c r="B26" s="133"/>
      <c r="C26" s="133"/>
      <c r="D26" s="133"/>
      <c r="E26" s="133"/>
      <c r="F26" s="133"/>
      <c r="G26" s="133"/>
      <c r="H26" s="133"/>
      <c r="I26" s="134"/>
    </row>
    <row r="27" spans="1:16" ht="15.75" x14ac:dyDescent="0.25">
      <c r="A27" s="166" t="s">
        <v>22</v>
      </c>
      <c r="B27" s="187"/>
      <c r="C27" s="187"/>
      <c r="D27" s="187"/>
      <c r="E27" s="187"/>
      <c r="F27" s="187"/>
      <c r="G27" s="187"/>
      <c r="H27" s="187"/>
      <c r="I27" s="187"/>
    </row>
    <row r="28" spans="1:16" ht="15.75" x14ac:dyDescent="0.25">
      <c r="A28" s="40"/>
      <c r="B28" s="40"/>
      <c r="C28" s="40"/>
      <c r="D28" s="40"/>
      <c r="E28" s="40"/>
      <c r="F28" s="40"/>
      <c r="G28" s="40"/>
      <c r="H28" s="128"/>
      <c r="I28" s="129">
        <v>100</v>
      </c>
    </row>
    <row r="29" spans="1:16" ht="31.5" x14ac:dyDescent="0.25">
      <c r="A29" s="43" t="s">
        <v>14</v>
      </c>
      <c r="B29" s="57" t="s">
        <v>15</v>
      </c>
      <c r="C29" s="57" t="s">
        <v>16</v>
      </c>
      <c r="D29" s="57" t="s">
        <v>23</v>
      </c>
      <c r="E29" s="57" t="s">
        <v>9</v>
      </c>
      <c r="F29" s="43" t="s">
        <v>10</v>
      </c>
      <c r="G29" s="44" t="s">
        <v>11</v>
      </c>
      <c r="H29" s="44" t="s">
        <v>281</v>
      </c>
      <c r="I29" s="43" t="s">
        <v>277</v>
      </c>
    </row>
    <row r="30" spans="1:16" ht="15.75" customHeight="1" x14ac:dyDescent="0.25">
      <c r="A30" s="48">
        <v>3</v>
      </c>
      <c r="B30" s="48"/>
      <c r="C30" s="48"/>
      <c r="D30" s="48" t="s">
        <v>24</v>
      </c>
      <c r="E30" s="68"/>
      <c r="F30" s="49"/>
      <c r="G30" s="49">
        <f>G31+G33+G36+G38+G41+G42+G45+7</f>
        <v>697121</v>
      </c>
      <c r="H30" s="49">
        <f>SUM(H31,H33,H36,H38,H41,H42,H45)</f>
        <v>749755</v>
      </c>
      <c r="I30" s="50">
        <f>(H30/G30)*$I$28</f>
        <v>107.55019573359574</v>
      </c>
      <c r="L30" s="27"/>
      <c r="M30" s="27"/>
      <c r="N30" s="27"/>
      <c r="O30" s="27"/>
      <c r="P30" s="27"/>
    </row>
    <row r="31" spans="1:16" s="31" customFormat="1" ht="15.75" customHeight="1" x14ac:dyDescent="0.25">
      <c r="A31" s="111"/>
      <c r="B31" s="111">
        <v>31</v>
      </c>
      <c r="C31" s="111"/>
      <c r="D31" s="111" t="s">
        <v>25</v>
      </c>
      <c r="E31" s="69"/>
      <c r="F31" s="70"/>
      <c r="G31" s="70">
        <f>'POSEBNI DIO'!G20</f>
        <v>47913</v>
      </c>
      <c r="H31" s="70">
        <f>'POSEBNI DIO'!H20</f>
        <v>49000</v>
      </c>
      <c r="I31" s="82">
        <f t="shared" ref="I31:I54" si="2">(H31/G31)*$I$28</f>
        <v>102.26869534364369</v>
      </c>
      <c r="L31" s="32"/>
      <c r="M31" s="32"/>
      <c r="N31" s="33"/>
      <c r="O31" s="33"/>
      <c r="P31" s="33"/>
    </row>
    <row r="32" spans="1:16" s="31" customFormat="1" ht="15.75" x14ac:dyDescent="0.25">
      <c r="A32" s="116"/>
      <c r="B32" s="116"/>
      <c r="C32" s="112">
        <v>11</v>
      </c>
      <c r="D32" s="112" t="s">
        <v>19</v>
      </c>
      <c r="E32" s="69"/>
      <c r="F32" s="70"/>
      <c r="G32" s="135">
        <f>SUM(G31)</f>
        <v>47913</v>
      </c>
      <c r="H32" s="135">
        <f>SUM(H31)</f>
        <v>49000</v>
      </c>
      <c r="I32" s="136">
        <f t="shared" si="2"/>
        <v>102.26869534364369</v>
      </c>
      <c r="L32" s="32"/>
      <c r="M32" s="32"/>
      <c r="N32" s="33"/>
      <c r="O32" s="32"/>
      <c r="P32" s="32"/>
    </row>
    <row r="33" spans="1:16" ht="31.5" x14ac:dyDescent="0.25">
      <c r="A33" s="116"/>
      <c r="B33" s="111">
        <v>32</v>
      </c>
      <c r="C33" s="111"/>
      <c r="D33" s="111" t="s">
        <v>279</v>
      </c>
      <c r="E33" s="69"/>
      <c r="F33" s="70"/>
      <c r="G33" s="114">
        <f>SUM('POSEBNI DIO'!G24,'POSEBNI DIO'!G29,'POSEBNI DIO'!G33,'POSEBNI DIO'!G37,'POSEBNI DIO'!G41,'POSEBNI DIO'!G45,'POSEBNI DIO'!G49,'POSEBNI DIO'!G54,'POSEBNI DIO'!G58,'POSEBNI DIO'!G62,'POSEBNI DIO'!G69,'POSEBNI DIO'!G73,'POSEBNI DIO'!G77,'POSEBNI DIO'!G81,'POSEBNI DIO'!G85,'POSEBNI DIO'!G89,'POSEBNI DIO'!G93,'POSEBNI DIO'!G97,'POSEBNI DIO'!G101,'POSEBNI DIO'!G109,'POSEBNI DIO'!G136,'POSEBNI DIO'!G159,'POSEBNI DIO'!G163,'POSEBNI DIO'!G167,'POSEBNI DIO'!G174,'POSEBNI DIO'!G178,'POSEBNI DIO'!G182,'POSEBNI DIO'!G301)</f>
        <v>228736</v>
      </c>
      <c r="H33" s="114">
        <f>SUM('POSEBNI DIO'!H24,'POSEBNI DIO'!H29,'POSEBNI DIO'!H33,'POSEBNI DIO'!H37,'POSEBNI DIO'!H41,'POSEBNI DIO'!H45,'POSEBNI DIO'!H49,'POSEBNI DIO'!H54,'POSEBNI DIO'!H58,'POSEBNI DIO'!H62,'POSEBNI DIO'!H69,'POSEBNI DIO'!H73,'POSEBNI DIO'!H77,'POSEBNI DIO'!H81,'POSEBNI DIO'!H85,'POSEBNI DIO'!H89,'POSEBNI DIO'!H93,'POSEBNI DIO'!H97,'POSEBNI DIO'!H101,'POSEBNI DIO'!H109,'POSEBNI DIO'!H136,'POSEBNI DIO'!H159,'POSEBNI DIO'!H163,'POSEBNI DIO'!H167,'POSEBNI DIO'!H174,'POSEBNI DIO'!H178,'POSEBNI DIO'!H182,'POSEBNI DIO'!H301)</f>
        <v>254530</v>
      </c>
      <c r="I33" s="115">
        <f t="shared" si="2"/>
        <v>111.27675573587017</v>
      </c>
      <c r="M33" s="27"/>
    </row>
    <row r="34" spans="1:16" ht="15.75" x14ac:dyDescent="0.25">
      <c r="A34" s="116"/>
      <c r="B34" s="116"/>
      <c r="C34" s="112">
        <v>11</v>
      </c>
      <c r="D34" s="112" t="s">
        <v>19</v>
      </c>
      <c r="E34" s="69"/>
      <c r="F34" s="70"/>
      <c r="G34" s="135">
        <f>G33*0.2</f>
        <v>45747.200000000004</v>
      </c>
      <c r="H34" s="135">
        <f>SUM('POSEBNI DIO'!H25,'POSEBNI DIO'!H30,'POSEBNI DIO'!H34,'POSEBNI DIO'!H38,'POSEBNI DIO'!H42,'POSEBNI DIO'!H46,'POSEBNI DIO'!H50,'POSEBNI DIO'!H55,'POSEBNI DIO'!H59,'POSEBNI DIO'!H63,'POSEBNI DIO'!H70,'POSEBNI DIO'!H74,'POSEBNI DIO'!H78,'POSEBNI DIO'!H82,'POSEBNI DIO'!H86,'POSEBNI DIO'!H90,'POSEBNI DIO'!H94,'POSEBNI DIO'!H98,'POSEBNI DIO'!H102,'POSEBNI DIO'!H137,'POSEBNI DIO'!H168,'POSEBNI DIO'!H183)</f>
        <v>89130</v>
      </c>
      <c r="I34" s="136">
        <f t="shared" si="2"/>
        <v>194.83159625069948</v>
      </c>
    </row>
    <row r="35" spans="1:16" ht="15.75" x14ac:dyDescent="0.25">
      <c r="A35" s="116"/>
      <c r="B35" s="116"/>
      <c r="C35" s="112">
        <v>52</v>
      </c>
      <c r="D35" s="112" t="s">
        <v>160</v>
      </c>
      <c r="E35" s="69"/>
      <c r="F35" s="70"/>
      <c r="G35" s="135">
        <f>G33-G34</f>
        <v>182988.79999999999</v>
      </c>
      <c r="H35" s="135">
        <f>SUM('POSEBNI DIO'!H110,'POSEBNI DIO'!H140,'POSEBNI DIO'!H160,'POSEBNI DIO'!H164,'POSEBNI DIO'!H171,'POSEBNI DIO'!H175,'POSEBNI DIO'!H179,'POSEBNI DIO'!H186,'POSEBNI DIO'!H290,'POSEBNI DIO'!H302)</f>
        <v>167400</v>
      </c>
      <c r="I35" s="136">
        <f t="shared" si="2"/>
        <v>91.4810086737549</v>
      </c>
      <c r="N35" s="28"/>
    </row>
    <row r="36" spans="1:16" ht="15.75" x14ac:dyDescent="0.25">
      <c r="A36" s="116"/>
      <c r="B36" s="116">
        <v>34</v>
      </c>
      <c r="C36" s="112"/>
      <c r="D36" s="116" t="s">
        <v>78</v>
      </c>
      <c r="E36" s="69"/>
      <c r="F36" s="70"/>
      <c r="G36" s="70">
        <f>'POSEBNI DIO'!G105</f>
        <v>4645</v>
      </c>
      <c r="H36" s="70">
        <f>'POSEBNI DIO'!H105</f>
        <v>4500</v>
      </c>
      <c r="I36" s="82">
        <f t="shared" si="2"/>
        <v>96.878363832077511</v>
      </c>
    </row>
    <row r="37" spans="1:16" ht="15.75" x14ac:dyDescent="0.25">
      <c r="A37" s="116"/>
      <c r="B37" s="116"/>
      <c r="C37" s="118">
        <v>11</v>
      </c>
      <c r="D37" s="112" t="s">
        <v>19</v>
      </c>
      <c r="E37" s="69"/>
      <c r="F37" s="70"/>
      <c r="G37" s="135">
        <f>SUM(G36)</f>
        <v>4645</v>
      </c>
      <c r="H37" s="135">
        <f>SUM('POSEBNI DIO'!H105)</f>
        <v>4500</v>
      </c>
      <c r="I37" s="136">
        <f t="shared" si="2"/>
        <v>96.878363832077511</v>
      </c>
    </row>
    <row r="38" spans="1:16" ht="15.75" x14ac:dyDescent="0.25">
      <c r="A38" s="117"/>
      <c r="B38" s="117">
        <v>35</v>
      </c>
      <c r="C38" s="118"/>
      <c r="D38" s="117" t="s">
        <v>79</v>
      </c>
      <c r="E38" s="119"/>
      <c r="F38" s="101"/>
      <c r="G38" s="101">
        <f>'POSEBNI DIO'!G289</f>
        <v>6636</v>
      </c>
      <c r="H38" s="101">
        <f>'POSEBNI DIO'!H289</f>
        <v>2000</v>
      </c>
      <c r="I38" s="102">
        <f t="shared" si="2"/>
        <v>30.138637733574441</v>
      </c>
      <c r="N38" s="27"/>
      <c r="O38" s="27"/>
      <c r="P38" s="27"/>
    </row>
    <row r="39" spans="1:16" ht="15.75" x14ac:dyDescent="0.25">
      <c r="A39" s="117"/>
      <c r="B39" s="117"/>
      <c r="C39" s="118">
        <v>11</v>
      </c>
      <c r="D39" s="118" t="s">
        <v>19</v>
      </c>
      <c r="E39" s="119"/>
      <c r="F39" s="101"/>
      <c r="G39" s="137">
        <v>9556.2000000000007</v>
      </c>
      <c r="H39" s="137">
        <v>0</v>
      </c>
      <c r="I39" s="138">
        <f t="shared" si="2"/>
        <v>0</v>
      </c>
    </row>
    <row r="40" spans="1:16" ht="15.75" x14ac:dyDescent="0.25">
      <c r="A40" s="117"/>
      <c r="B40" s="117"/>
      <c r="C40" s="118">
        <v>52</v>
      </c>
      <c r="D40" s="118" t="s">
        <v>159</v>
      </c>
      <c r="E40" s="119"/>
      <c r="F40" s="101"/>
      <c r="G40" s="137">
        <v>6370.8</v>
      </c>
      <c r="H40" s="137">
        <f>SUM('POSEBNI DIO'!H290)</f>
        <v>2000</v>
      </c>
      <c r="I40" s="138">
        <f t="shared" si="2"/>
        <v>31.393231619262885</v>
      </c>
    </row>
    <row r="41" spans="1:16" ht="47.25" x14ac:dyDescent="0.25">
      <c r="A41" s="117"/>
      <c r="B41" s="117">
        <v>36</v>
      </c>
      <c r="C41" s="118"/>
      <c r="D41" s="120" t="s">
        <v>80</v>
      </c>
      <c r="E41" s="119"/>
      <c r="F41" s="101"/>
      <c r="G41" s="101">
        <v>0</v>
      </c>
      <c r="H41" s="101">
        <v>0</v>
      </c>
      <c r="I41" s="102"/>
    </row>
    <row r="42" spans="1:16" ht="63" x14ac:dyDescent="0.25">
      <c r="A42" s="116"/>
      <c r="B42" s="116">
        <v>37</v>
      </c>
      <c r="C42" s="118"/>
      <c r="D42" s="121" t="s">
        <v>81</v>
      </c>
      <c r="E42" s="69"/>
      <c r="F42" s="70"/>
      <c r="G42" s="70">
        <f>SUM('POSEBNI DIO'!G143,'POSEBNI DIO'!G150,'POSEBNI DIO'!G154,'POSEBNI DIO'!G349,'POSEBNI DIO'!G353)</f>
        <v>72335</v>
      </c>
      <c r="H42" s="70">
        <f>SUM('POSEBNI DIO'!H143,'POSEBNI DIO'!H150,'POSEBNI DIO'!H154,'POSEBNI DIO'!H349,'POSEBNI DIO'!H353)</f>
        <v>65000</v>
      </c>
      <c r="I42" s="82">
        <f t="shared" si="2"/>
        <v>89.859680652519529</v>
      </c>
      <c r="J42" s="34"/>
    </row>
    <row r="43" spans="1:16" ht="15.75" x14ac:dyDescent="0.25">
      <c r="A43" s="116"/>
      <c r="B43" s="116"/>
      <c r="C43" s="118">
        <v>11</v>
      </c>
      <c r="D43" s="112" t="s">
        <v>19</v>
      </c>
      <c r="E43" s="69"/>
      <c r="F43" s="70"/>
      <c r="G43" s="135">
        <v>38206</v>
      </c>
      <c r="H43" s="135">
        <f>SUM('POSEBNI DIO'!H144,'POSEBNI DIO'!H350,'POSEBNI DIO'!H354)</f>
        <v>18200</v>
      </c>
      <c r="I43" s="136">
        <f t="shared" si="2"/>
        <v>47.636496885305974</v>
      </c>
      <c r="J43" s="34"/>
    </row>
    <row r="44" spans="1:16" ht="15.75" x14ac:dyDescent="0.25">
      <c r="A44" s="116"/>
      <c r="B44" s="116"/>
      <c r="C44" s="118">
        <v>52</v>
      </c>
      <c r="D44" s="112" t="s">
        <v>160</v>
      </c>
      <c r="E44" s="69"/>
      <c r="F44" s="70"/>
      <c r="G44" s="135">
        <f>G42-G43</f>
        <v>34129</v>
      </c>
      <c r="H44" s="135">
        <f>SUM('POSEBNI DIO'!H147,'POSEBNI DIO'!H151,'POSEBNI DIO'!H155,'POSEBNI DIO'!H357)</f>
        <v>46800</v>
      </c>
      <c r="I44" s="136">
        <f t="shared" si="2"/>
        <v>137.12678367370859</v>
      </c>
      <c r="J44" s="34"/>
    </row>
    <row r="45" spans="1:16" ht="15.75" x14ac:dyDescent="0.25">
      <c r="A45" s="116"/>
      <c r="B45" s="116">
        <v>38</v>
      </c>
      <c r="C45" s="118"/>
      <c r="D45" s="116" t="s">
        <v>82</v>
      </c>
      <c r="E45" s="69"/>
      <c r="F45" s="70"/>
      <c r="G45" s="70">
        <f>SUM('POSEBNI DIO'!G10,'POSEBNI DIO'!G14,'POSEBNI DIO'!G120,'POSEBNI DIO'!G124,'POSEBNI DIO'!G129,'POSEBNI DIO'!G293,'POSEBNI DIO'!G305,'POSEBNI DIO'!G309,'POSEBNI DIO'!G313,'POSEBNI DIO'!G317,'POSEBNI DIO'!G329,'POSEBNI DIO'!G336,'POSEBNI DIO'!G340,'POSEBNI DIO'!G345,'POSEBNI DIO'!G360,'POSEBNI DIO'!G364)</f>
        <v>336849</v>
      </c>
      <c r="H45" s="70">
        <f>SUM('POSEBNI DIO'!H10,'POSEBNI DIO'!H14,'POSEBNI DIO'!H120,'POSEBNI DIO'!H124,'POSEBNI DIO'!H129,'POSEBNI DIO'!H293,'POSEBNI DIO'!H305,'POSEBNI DIO'!H309,'POSEBNI DIO'!H313,'POSEBNI DIO'!H317,'POSEBNI DIO'!H329,'POSEBNI DIO'!H336,'POSEBNI DIO'!H340,'POSEBNI DIO'!H345,'POSEBNI DIO'!H360,'POSEBNI DIO'!H364)</f>
        <v>374725</v>
      </c>
      <c r="I45" s="82">
        <f t="shared" si="2"/>
        <v>111.2442073451309</v>
      </c>
    </row>
    <row r="46" spans="1:16" ht="15.75" x14ac:dyDescent="0.25">
      <c r="A46" s="116"/>
      <c r="B46" s="116"/>
      <c r="C46" s="118">
        <v>11</v>
      </c>
      <c r="D46" s="112" t="s">
        <v>19</v>
      </c>
      <c r="E46" s="69"/>
      <c r="F46" s="70"/>
      <c r="G46" s="70">
        <f>G45*0.2</f>
        <v>67369.8</v>
      </c>
      <c r="H46" s="70">
        <f>SUM('POSEBNI DIO'!H11,'POSEBNI DIO'!H15,'POSEBNI DIO'!H125,'POSEBNI DIO'!H130,'POSEBNI DIO'!H294,'POSEBNI DIO'!H330,'POSEBNI DIO'!H346,'POSEBNI DIO'!H365)</f>
        <v>40225</v>
      </c>
      <c r="I46" s="82">
        <f t="shared" si="2"/>
        <v>59.70776223174181</v>
      </c>
    </row>
    <row r="47" spans="1:16" ht="15.75" x14ac:dyDescent="0.25">
      <c r="A47" s="116"/>
      <c r="B47" s="116"/>
      <c r="C47" s="118">
        <v>52</v>
      </c>
      <c r="D47" s="112" t="s">
        <v>159</v>
      </c>
      <c r="E47" s="69"/>
      <c r="F47" s="70"/>
      <c r="G47" s="70">
        <f>G45-G46</f>
        <v>269479.2</v>
      </c>
      <c r="H47" s="70">
        <f>SUM('POSEBNI DIO'!H121,'POSEBNI DIO'!H133,'POSEBNI DIO'!H297,'POSEBNI DIO'!H306,'POSEBNI DIO'!H310,'POSEBNI DIO'!H314,'POSEBNI DIO'!H318,'POSEBNI DIO'!H333,'POSEBNI DIO'!H337,'POSEBNI DIO'!H341,'POSEBNI DIO'!H361)</f>
        <v>334500</v>
      </c>
      <c r="I47" s="82">
        <f t="shared" si="2"/>
        <v>124.12831862347818</v>
      </c>
    </row>
    <row r="48" spans="1:16" ht="31.5" x14ac:dyDescent="0.25">
      <c r="A48" s="51">
        <v>4</v>
      </c>
      <c r="B48" s="51"/>
      <c r="C48" s="51"/>
      <c r="D48" s="113" t="s">
        <v>26</v>
      </c>
      <c r="E48" s="68"/>
      <c r="F48" s="49"/>
      <c r="G48" s="49">
        <v>1223890</v>
      </c>
      <c r="H48" s="49">
        <f>SUM(H49,H52)</f>
        <v>865500</v>
      </c>
      <c r="I48" s="50">
        <f t="shared" si="2"/>
        <v>70.717139612220052</v>
      </c>
    </row>
    <row r="49" spans="1:12" ht="47.25" x14ac:dyDescent="0.25">
      <c r="A49" s="111"/>
      <c r="B49" s="111">
        <v>41</v>
      </c>
      <c r="C49" s="111"/>
      <c r="D49" s="122" t="s">
        <v>27</v>
      </c>
      <c r="E49" s="69"/>
      <c r="F49" s="70"/>
      <c r="G49" s="70">
        <v>0</v>
      </c>
      <c r="H49" s="70">
        <v>0</v>
      </c>
      <c r="I49" s="82"/>
    </row>
    <row r="50" spans="1:12" ht="15.75" x14ac:dyDescent="0.25">
      <c r="A50" s="111"/>
      <c r="B50" s="111"/>
      <c r="C50" s="112">
        <v>11</v>
      </c>
      <c r="D50" s="112" t="s">
        <v>156</v>
      </c>
      <c r="E50" s="69"/>
      <c r="F50" s="70"/>
      <c r="G50" s="70">
        <v>0</v>
      </c>
      <c r="H50" s="70">
        <v>0</v>
      </c>
      <c r="I50" s="82"/>
    </row>
    <row r="51" spans="1:12" ht="15.75" x14ac:dyDescent="0.25">
      <c r="A51" s="111"/>
      <c r="B51" s="111"/>
      <c r="C51" s="112" t="s">
        <v>287</v>
      </c>
      <c r="D51" s="112" t="s">
        <v>160</v>
      </c>
      <c r="E51" s="69"/>
      <c r="F51" s="70"/>
      <c r="G51" s="70">
        <v>0</v>
      </c>
      <c r="H51" s="70">
        <v>0</v>
      </c>
      <c r="I51" s="82"/>
    </row>
    <row r="52" spans="1:12" ht="47.25" x14ac:dyDescent="0.25">
      <c r="A52" s="124"/>
      <c r="B52" s="123">
        <v>42</v>
      </c>
      <c r="C52" s="124"/>
      <c r="D52" s="125" t="s">
        <v>83</v>
      </c>
      <c r="E52" s="124"/>
      <c r="F52" s="124"/>
      <c r="G52" s="126">
        <f>SUM('POSEBNI DIO'!G114,'POSEBNI DIO'!G190,'POSEBNI DIO'!G197,'POSEBNI DIO'!G204,'POSEBNI DIO'!G211,'POSEBNI DIO'!G218,'POSEBNI DIO'!G225,'POSEBNI DIO'!G232,'POSEBNI DIO'!G239,'POSEBNI DIO'!G246,'POSEBNI DIO'!G253,'POSEBNI DIO'!G260,'POSEBNI DIO'!G267,'POSEBNI DIO'!G274,'POSEBNI DIO'!G281,'POSEBNI DIO'!G321)</f>
        <v>1166633</v>
      </c>
      <c r="H52" s="126">
        <f>SUM('POSEBNI DIO'!H114,'POSEBNI DIO'!H190,'POSEBNI DIO'!H197,'POSEBNI DIO'!H204,'POSEBNI DIO'!H211,'POSEBNI DIO'!H218,'POSEBNI DIO'!H225,'POSEBNI DIO'!H232,'POSEBNI DIO'!H239,'POSEBNI DIO'!H246,'POSEBNI DIO'!H253,'POSEBNI DIO'!H260,'POSEBNI DIO'!H267,'POSEBNI DIO'!H274,'POSEBNI DIO'!H281,'POSEBNI DIO'!H321)</f>
        <v>865500</v>
      </c>
      <c r="I52" s="127">
        <f t="shared" si="2"/>
        <v>74.187855135248199</v>
      </c>
      <c r="L52" s="27"/>
    </row>
    <row r="53" spans="1:12" ht="15.75" x14ac:dyDescent="0.25">
      <c r="A53" s="124"/>
      <c r="B53" s="124"/>
      <c r="C53" s="132">
        <v>11</v>
      </c>
      <c r="D53" s="139" t="s">
        <v>19</v>
      </c>
      <c r="E53" s="124"/>
      <c r="F53" s="124"/>
      <c r="G53" s="126">
        <v>91730</v>
      </c>
      <c r="H53" s="126">
        <f>SUM('POSEBNI DIO'!H115,'POSEBNI DIO'!H191,'POSEBNI DIO'!H198,'POSEBNI DIO'!H205,'POSEBNI DIO'!H212,'POSEBNI DIO'!H219,'POSEBNI DIO'!H226,'POSEBNI DIO'!H233,'POSEBNI DIO'!H240,'POSEBNI DIO'!H247,'POSEBNI DIO'!H254,'POSEBNI DIO'!H261,'POSEBNI DIO'!H268,'POSEBNI DIO'!H275,'POSEBNI DIO'!H282,'POSEBNI DIO'!H322)</f>
        <v>194145</v>
      </c>
      <c r="I53" s="127">
        <f t="shared" si="2"/>
        <v>211.6483157091464</v>
      </c>
      <c r="K53" s="4"/>
      <c r="L53" s="27"/>
    </row>
    <row r="54" spans="1:12" ht="15.75" x14ac:dyDescent="0.25">
      <c r="A54" s="124"/>
      <c r="B54" s="124"/>
      <c r="C54" s="132">
        <v>52</v>
      </c>
      <c r="D54" s="132" t="s">
        <v>159</v>
      </c>
      <c r="E54" s="124"/>
      <c r="F54" s="124"/>
      <c r="G54" s="126">
        <f>G52-G53</f>
        <v>1074903</v>
      </c>
      <c r="H54" s="126">
        <f>SUM('POSEBNI DIO'!H194,'POSEBNI DIO'!H201,'POSEBNI DIO'!H208,'POSEBNI DIO'!H215,'POSEBNI DIO'!H222,'POSEBNI DIO'!H229,'POSEBNI DIO'!H236,'POSEBNI DIO'!H243,'POSEBNI DIO'!H250,'POSEBNI DIO'!H257,'POSEBNI DIO'!H264,'POSEBNI DIO'!H271,'POSEBNI DIO'!H278,'POSEBNI DIO'!H285,'POSEBNI DIO'!H325)</f>
        <v>671355</v>
      </c>
      <c r="I54" s="127">
        <f t="shared" si="2"/>
        <v>62.457263585644476</v>
      </c>
      <c r="K54" s="4"/>
    </row>
    <row r="55" spans="1:12" x14ac:dyDescent="0.25">
      <c r="K55" s="4"/>
    </row>
  </sheetData>
  <mergeCells count="5">
    <mergeCell ref="A7:I7"/>
    <mergeCell ref="A27:I27"/>
    <mergeCell ref="A1:I1"/>
    <mergeCell ref="A3:I3"/>
    <mergeCell ref="A5:I5"/>
  </mergeCells>
  <pageMargins left="0.70866141732283472" right="0.70866141732283472" top="0.74803149606299213" bottom="0.74803149606299213" header="0.31496062992125984" footer="0.31496062992125984"/>
  <pageSetup paperSize="9" scale="58" firstPageNumber="2" orientation="portrait" useFirstPageNumber="1" r:id="rId1"/>
  <ignoredErrors>
    <ignoredError sqref="C5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4"/>
  <sheetViews>
    <sheetView workbookViewId="0">
      <selection activeCell="N11" sqref="N11"/>
    </sheetView>
  </sheetViews>
  <sheetFormatPr defaultColWidth="8.85546875" defaultRowHeight="15" x14ac:dyDescent="0.25"/>
  <cols>
    <col min="1" max="1" width="7.42578125" style="1" bestFit="1" customWidth="1"/>
    <col min="2" max="2" width="8.42578125" style="1" bestFit="1" customWidth="1"/>
    <col min="3" max="3" width="5.42578125" style="1" bestFit="1" customWidth="1"/>
    <col min="4" max="4" width="25.28515625" style="1" customWidth="1"/>
    <col min="5" max="6" width="25.28515625" style="1" hidden="1" customWidth="1"/>
    <col min="7" max="9" width="25.28515625" style="1" customWidth="1"/>
    <col min="10" max="16384" width="8.85546875" style="1"/>
  </cols>
  <sheetData>
    <row r="1" spans="1:9" ht="42" customHeight="1" x14ac:dyDescent="0.25">
      <c r="A1" s="166" t="s">
        <v>286</v>
      </c>
      <c r="B1" s="166"/>
      <c r="C1" s="166"/>
      <c r="D1" s="166"/>
      <c r="E1" s="166"/>
      <c r="F1" s="166"/>
      <c r="G1" s="166"/>
      <c r="H1" s="166"/>
      <c r="I1" s="166"/>
    </row>
    <row r="2" spans="1:9" ht="18" customHeight="1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.75" x14ac:dyDescent="0.25">
      <c r="A3" s="166" t="s">
        <v>39</v>
      </c>
      <c r="B3" s="166"/>
      <c r="C3" s="166"/>
      <c r="D3" s="166"/>
      <c r="E3" s="166"/>
      <c r="F3" s="166"/>
      <c r="G3" s="166"/>
      <c r="H3" s="184"/>
      <c r="I3" s="184"/>
    </row>
    <row r="4" spans="1:9" ht="18" x14ac:dyDescent="0.25">
      <c r="A4" s="2"/>
      <c r="B4" s="2"/>
      <c r="C4" s="2"/>
      <c r="D4" s="2"/>
      <c r="E4" s="2"/>
      <c r="F4" s="2"/>
      <c r="G4" s="2"/>
      <c r="H4" s="3"/>
      <c r="I4" s="3"/>
    </row>
    <row r="5" spans="1:9" ht="18" customHeight="1" x14ac:dyDescent="0.25">
      <c r="A5" s="166" t="s">
        <v>35</v>
      </c>
      <c r="B5" s="167"/>
      <c r="C5" s="167"/>
      <c r="D5" s="167"/>
      <c r="E5" s="167"/>
      <c r="F5" s="167"/>
      <c r="G5" s="167"/>
      <c r="H5" s="167"/>
      <c r="I5" s="167"/>
    </row>
    <row r="6" spans="1:9" ht="18" x14ac:dyDescent="0.25">
      <c r="A6" s="2"/>
      <c r="B6" s="2"/>
      <c r="C6" s="2"/>
      <c r="D6" s="2"/>
      <c r="E6" s="2"/>
      <c r="F6" s="2"/>
      <c r="G6" s="2"/>
      <c r="H6" s="3"/>
      <c r="I6" s="36">
        <v>100</v>
      </c>
    </row>
    <row r="7" spans="1:9" ht="31.5" x14ac:dyDescent="0.25">
      <c r="A7" s="140" t="s">
        <v>14</v>
      </c>
      <c r="B7" s="141" t="s">
        <v>15</v>
      </c>
      <c r="C7" s="141" t="s">
        <v>16</v>
      </c>
      <c r="D7" s="141" t="s">
        <v>53</v>
      </c>
      <c r="E7" s="141" t="s">
        <v>9</v>
      </c>
      <c r="F7" s="140" t="s">
        <v>10</v>
      </c>
      <c r="G7" s="140" t="s">
        <v>11</v>
      </c>
      <c r="H7" s="140" t="s">
        <v>281</v>
      </c>
      <c r="I7" s="140" t="s">
        <v>277</v>
      </c>
    </row>
    <row r="8" spans="1:9" ht="31.5" x14ac:dyDescent="0.25">
      <c r="A8" s="142">
        <v>8</v>
      </c>
      <c r="B8" s="142"/>
      <c r="C8" s="142"/>
      <c r="D8" s="142" t="s">
        <v>36</v>
      </c>
      <c r="E8" s="143"/>
      <c r="F8" s="144"/>
      <c r="G8" s="144">
        <v>0</v>
      </c>
      <c r="H8" s="144">
        <v>0</v>
      </c>
      <c r="I8" s="145">
        <v>0</v>
      </c>
    </row>
    <row r="9" spans="1:9" ht="31.5" x14ac:dyDescent="0.25">
      <c r="A9" s="146"/>
      <c r="B9" s="146">
        <v>84</v>
      </c>
      <c r="C9" s="146"/>
      <c r="D9" s="146" t="s">
        <v>43</v>
      </c>
      <c r="E9" s="147"/>
      <c r="F9" s="148"/>
      <c r="G9" s="148">
        <v>0</v>
      </c>
      <c r="H9" s="148">
        <v>0</v>
      </c>
      <c r="I9" s="149">
        <v>0</v>
      </c>
    </row>
    <row r="10" spans="1:9" ht="30" x14ac:dyDescent="0.25">
      <c r="A10" s="150"/>
      <c r="B10" s="150"/>
      <c r="C10" s="151">
        <v>81</v>
      </c>
      <c r="D10" s="152" t="s">
        <v>44</v>
      </c>
      <c r="E10" s="147"/>
      <c r="F10" s="148"/>
      <c r="G10" s="148">
        <v>0</v>
      </c>
      <c r="H10" s="148">
        <v>0</v>
      </c>
      <c r="I10" s="149">
        <v>0</v>
      </c>
    </row>
    <row r="11" spans="1:9" ht="47.25" x14ac:dyDescent="0.25">
      <c r="A11" s="153">
        <v>5</v>
      </c>
      <c r="B11" s="153"/>
      <c r="C11" s="153"/>
      <c r="D11" s="154" t="s">
        <v>37</v>
      </c>
      <c r="E11" s="143"/>
      <c r="F11" s="144"/>
      <c r="G11" s="144">
        <f>SUM(G12)</f>
        <v>26545</v>
      </c>
      <c r="H11" s="144">
        <f>SUM(H12)</f>
        <v>18500</v>
      </c>
      <c r="I11" s="155">
        <f>(H11/G11)*I6</f>
        <v>69.692974194763607</v>
      </c>
    </row>
    <row r="12" spans="1:9" ht="47.25" x14ac:dyDescent="0.25">
      <c r="A12" s="146"/>
      <c r="B12" s="146">
        <v>54</v>
      </c>
      <c r="C12" s="146"/>
      <c r="D12" s="156" t="s">
        <v>45</v>
      </c>
      <c r="E12" s="147"/>
      <c r="F12" s="148"/>
      <c r="G12" s="148">
        <v>26545</v>
      </c>
      <c r="H12" s="148">
        <v>18500</v>
      </c>
      <c r="I12" s="157">
        <f>(H12/G12)*100</f>
        <v>69.692974194763607</v>
      </c>
    </row>
    <row r="13" spans="1:9" ht="15.75" x14ac:dyDescent="0.25">
      <c r="A13" s="146"/>
      <c r="B13" s="146"/>
      <c r="C13" s="151">
        <v>11</v>
      </c>
      <c r="D13" s="151" t="s">
        <v>19</v>
      </c>
      <c r="E13" s="147"/>
      <c r="F13" s="148"/>
      <c r="G13" s="148">
        <v>26545</v>
      </c>
      <c r="H13" s="148">
        <f>H12</f>
        <v>18500</v>
      </c>
      <c r="I13" s="157">
        <f t="shared" ref="I13" si="0">(H13/G13)*100</f>
        <v>69.692974194763607</v>
      </c>
    </row>
    <row r="14" spans="1:9" ht="15.75" x14ac:dyDescent="0.25">
      <c r="A14" s="146"/>
      <c r="B14" s="146"/>
      <c r="C14" s="151">
        <v>31</v>
      </c>
      <c r="D14" s="151" t="s">
        <v>46</v>
      </c>
      <c r="E14" s="147"/>
      <c r="F14" s="148"/>
      <c r="G14" s="148"/>
      <c r="H14" s="148">
        <v>0</v>
      </c>
      <c r="I14" s="157"/>
    </row>
  </sheetData>
  <mergeCells count="3">
    <mergeCell ref="A1:I1"/>
    <mergeCell ref="A3:I3"/>
    <mergeCell ref="A5:I5"/>
  </mergeCells>
  <pageMargins left="0.70866141732283472" right="0.70866141732283472" top="0.74803149606299213" bottom="0.74803149606299213" header="0.31496062992125984" footer="0.31496062992125984"/>
  <pageSetup paperSize="9" scale="71" firstPageNumber="4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0"/>
  <sheetViews>
    <sheetView topLeftCell="A6" workbookViewId="0">
      <selection activeCell="J43" sqref="J43"/>
    </sheetView>
  </sheetViews>
  <sheetFormatPr defaultColWidth="9.140625" defaultRowHeight="15" x14ac:dyDescent="0.25"/>
  <cols>
    <col min="1" max="1" width="40.42578125" style="1" bestFit="1" customWidth="1"/>
    <col min="2" max="3" width="25.28515625" style="1" hidden="1" customWidth="1"/>
    <col min="4" max="5" width="25.28515625" style="1" customWidth="1"/>
    <col min="6" max="6" width="25.28515625" style="10" customWidth="1"/>
    <col min="7" max="16384" width="9.140625" style="1"/>
  </cols>
  <sheetData>
    <row r="1" spans="1:10" ht="42" customHeight="1" x14ac:dyDescent="0.25">
      <c r="A1" s="166" t="s">
        <v>286</v>
      </c>
      <c r="B1" s="166"/>
      <c r="C1" s="166"/>
      <c r="D1" s="166"/>
      <c r="E1" s="166"/>
      <c r="F1" s="166"/>
    </row>
    <row r="2" spans="1:10" ht="18" customHeight="1" x14ac:dyDescent="0.25">
      <c r="A2" s="40"/>
      <c r="B2" s="40"/>
      <c r="C2" s="40"/>
      <c r="D2" s="40"/>
      <c r="E2" s="40"/>
      <c r="F2" s="40"/>
    </row>
    <row r="3" spans="1:10" ht="15.75" x14ac:dyDescent="0.25">
      <c r="A3" s="166" t="s">
        <v>39</v>
      </c>
      <c r="B3" s="166"/>
      <c r="C3" s="166"/>
      <c r="D3" s="166"/>
      <c r="E3" s="188"/>
      <c r="F3" s="188"/>
    </row>
    <row r="4" spans="1:10" ht="15.75" x14ac:dyDescent="0.25">
      <c r="A4" s="40"/>
      <c r="B4" s="40"/>
      <c r="C4" s="40"/>
      <c r="D4" s="40"/>
      <c r="E4" s="128"/>
      <c r="F4" s="40"/>
    </row>
    <row r="5" spans="1:10" ht="18" customHeight="1" x14ac:dyDescent="0.25">
      <c r="A5" s="166" t="s">
        <v>13</v>
      </c>
      <c r="B5" s="189"/>
      <c r="C5" s="189"/>
      <c r="D5" s="189"/>
      <c r="E5" s="189"/>
      <c r="F5" s="189"/>
    </row>
    <row r="6" spans="1:10" ht="15.75" x14ac:dyDescent="0.25">
      <c r="A6" s="40"/>
      <c r="B6" s="40"/>
      <c r="C6" s="40"/>
      <c r="D6" s="40"/>
      <c r="E6" s="128"/>
      <c r="F6" s="73">
        <v>100</v>
      </c>
    </row>
    <row r="7" spans="1:10" ht="15.75" x14ac:dyDescent="0.25">
      <c r="A7" s="166" t="s">
        <v>28</v>
      </c>
      <c r="B7" s="187"/>
      <c r="C7" s="187"/>
      <c r="D7" s="187"/>
      <c r="E7" s="187"/>
      <c r="F7" s="187"/>
    </row>
    <row r="8" spans="1:10" ht="15.75" x14ac:dyDescent="0.25">
      <c r="A8" s="40"/>
      <c r="B8" s="40"/>
      <c r="C8" s="40"/>
      <c r="D8" s="40"/>
      <c r="E8" s="128"/>
      <c r="F8" s="40"/>
    </row>
    <row r="9" spans="1:10" ht="15.75" x14ac:dyDescent="0.25">
      <c r="A9" s="43" t="s">
        <v>29</v>
      </c>
      <c r="B9" s="43" t="s">
        <v>9</v>
      </c>
      <c r="C9" s="43" t="s">
        <v>10</v>
      </c>
      <c r="D9" s="43" t="s">
        <v>11</v>
      </c>
      <c r="E9" s="44" t="s">
        <v>281</v>
      </c>
      <c r="F9" s="43" t="s">
        <v>277</v>
      </c>
    </row>
    <row r="10" spans="1:10" ht="15.75" customHeight="1" x14ac:dyDescent="0.25">
      <c r="A10" s="45" t="s">
        <v>30</v>
      </c>
      <c r="B10" s="46"/>
      <c r="C10" s="46"/>
      <c r="D10" s="46">
        <f>SUM(D11,D13,D16,D21,D24,D28,D33,D37)</f>
        <v>1863747</v>
      </c>
      <c r="E10" s="46">
        <f>SUM(E11,E13,E16,E21,E24,E28,E33,E37)</f>
        <v>1615255</v>
      </c>
      <c r="F10" s="47">
        <f>E10/D10*$F$6</f>
        <v>86.667074447336461</v>
      </c>
    </row>
    <row r="11" spans="1:10" ht="15.75" customHeight="1" x14ac:dyDescent="0.25">
      <c r="A11" s="48" t="s">
        <v>31</v>
      </c>
      <c r="B11" s="49"/>
      <c r="C11" s="49"/>
      <c r="D11" s="49">
        <f>SUM(D12)</f>
        <v>120433</v>
      </c>
      <c r="E11" s="49">
        <f>SUM(E12)</f>
        <v>140755</v>
      </c>
      <c r="F11" s="50">
        <f t="shared" ref="F11:F40" si="0">E11/D11*$F$6</f>
        <v>116.87411257711757</v>
      </c>
    </row>
    <row r="12" spans="1:10" ht="30" x14ac:dyDescent="0.25">
      <c r="A12" s="130" t="s">
        <v>32</v>
      </c>
      <c r="B12" s="70"/>
      <c r="C12" s="70"/>
      <c r="D12" s="70">
        <f>'POSEBNI DIO'!G10+'POSEBNI DIO'!G14+'POSEBNI DIO'!G20+'POSEBNI DIO'!G24+'POSEBNI DIO'!G29+'POSEBNI DIO'!G33+'POSEBNI DIO'!G37+'POSEBNI DIO'!G45+'POSEBNI DIO'!G49+'POSEBNI DIO'!G54+'POSEBNI DIO'!G58+'POSEBNI DIO'!G73+'POSEBNI DIO'!G77+'POSEBNI DIO'!G81+'POSEBNI DIO'!G85+'POSEBNI DIO'!G89+'POSEBNI DIO'!G93+'POSEBNI DIO'!G97+'POSEBNI DIO'!G101+'POSEBNI DIO'!G105+'POSEBNI DIO'!G109+'POSEBNI DIO'!G114</f>
        <v>120433</v>
      </c>
      <c r="E12" s="70">
        <f>'POSEBNI DIO'!H10+'POSEBNI DIO'!H14+'POSEBNI DIO'!H20+'POSEBNI DIO'!H24+'POSEBNI DIO'!H29+'POSEBNI DIO'!H33+'POSEBNI DIO'!H37+'POSEBNI DIO'!H45+'POSEBNI DIO'!H49+'POSEBNI DIO'!H54+'POSEBNI DIO'!H58+'POSEBNI DIO'!H73+'POSEBNI DIO'!H77+'POSEBNI DIO'!H81+'POSEBNI DIO'!H85+'POSEBNI DIO'!H89+'POSEBNI DIO'!H93+'POSEBNI DIO'!H97+'POSEBNI DIO'!H101+'POSEBNI DIO'!H105+'POSEBNI DIO'!H109+'POSEBNI DIO'!H114</f>
        <v>140755</v>
      </c>
      <c r="F12" s="82">
        <f t="shared" si="0"/>
        <v>116.87411257711757</v>
      </c>
      <c r="G12" s="5"/>
      <c r="H12" s="5"/>
    </row>
    <row r="13" spans="1:10" ht="15.75" x14ac:dyDescent="0.25">
      <c r="A13" s="51" t="s">
        <v>54</v>
      </c>
      <c r="B13" s="49"/>
      <c r="C13" s="49"/>
      <c r="D13" s="49">
        <f>SUM(D14:D15)</f>
        <v>9290</v>
      </c>
      <c r="E13" s="49">
        <f t="shared" ref="E13" si="1">SUM(E14:E15)</f>
        <v>8000</v>
      </c>
      <c r="F13" s="50">
        <f t="shared" si="0"/>
        <v>86.114101184068886</v>
      </c>
    </row>
    <row r="14" spans="1:10" ht="15.75" x14ac:dyDescent="0.25">
      <c r="A14" s="158" t="s">
        <v>272</v>
      </c>
      <c r="B14" s="70"/>
      <c r="C14" s="70"/>
      <c r="D14" s="70">
        <f>SUM('POSEBNI DIO'!G124)</f>
        <v>1327</v>
      </c>
      <c r="E14" s="70">
        <f>SUM('POSEBNI DIO'!H124)</f>
        <v>1000</v>
      </c>
      <c r="F14" s="82">
        <f t="shared" si="0"/>
        <v>75.357950263752826</v>
      </c>
    </row>
    <row r="15" spans="1:10" ht="15.75" x14ac:dyDescent="0.25">
      <c r="A15" s="158" t="s">
        <v>55</v>
      </c>
      <c r="B15" s="70"/>
      <c r="C15" s="70"/>
      <c r="D15" s="70">
        <f>SUM('POSEBNI DIO'!G120)</f>
        <v>7963</v>
      </c>
      <c r="E15" s="70">
        <f>SUM('POSEBNI DIO'!H120)</f>
        <v>7000</v>
      </c>
      <c r="F15" s="82">
        <f t="shared" si="0"/>
        <v>87.906567876428483</v>
      </c>
    </row>
    <row r="16" spans="1:10" ht="15.75" x14ac:dyDescent="0.25">
      <c r="A16" s="48" t="s">
        <v>33</v>
      </c>
      <c r="B16" s="49"/>
      <c r="C16" s="49"/>
      <c r="D16" s="49">
        <f>SUM(D17:D20)</f>
        <v>152632</v>
      </c>
      <c r="E16" s="49">
        <f t="shared" ref="E16" si="2">SUM(E17:E20)</f>
        <v>266000</v>
      </c>
      <c r="F16" s="50">
        <f t="shared" si="0"/>
        <v>174.27538130929295</v>
      </c>
      <c r="J16" s="25"/>
    </row>
    <row r="17" spans="1:6" ht="30" x14ac:dyDescent="0.25">
      <c r="A17" s="159" t="s">
        <v>34</v>
      </c>
      <c r="B17" s="70"/>
      <c r="C17" s="70"/>
      <c r="D17" s="70">
        <f>SUM('POSEBNI DIO'!G293)</f>
        <v>9291</v>
      </c>
      <c r="E17" s="70">
        <f>SUM('POSEBNI DIO'!H293)</f>
        <v>10000</v>
      </c>
      <c r="F17" s="82">
        <f t="shared" si="0"/>
        <v>107.63104079216446</v>
      </c>
    </row>
    <row r="18" spans="1:6" ht="15.75" x14ac:dyDescent="0.25">
      <c r="A18" s="160" t="s">
        <v>56</v>
      </c>
      <c r="B18" s="124"/>
      <c r="C18" s="124"/>
      <c r="D18" s="126">
        <f>SUM('POSEBNI DIO'!G289)</f>
        <v>6636</v>
      </c>
      <c r="E18" s="126">
        <f>SUM('POSEBNI DIO'!H289)</f>
        <v>2000</v>
      </c>
      <c r="F18" s="127">
        <f t="shared" si="0"/>
        <v>30.138637733574441</v>
      </c>
    </row>
    <row r="19" spans="1:6" ht="15.75" x14ac:dyDescent="0.25">
      <c r="A19" s="160" t="s">
        <v>276</v>
      </c>
      <c r="B19" s="124"/>
      <c r="C19" s="124"/>
      <c r="D19" s="126">
        <f>SUM('POSEBNI DIO'!G41)</f>
        <v>3982</v>
      </c>
      <c r="E19" s="126">
        <f>SUM('POSEBNI DIO'!H41)</f>
        <v>4000</v>
      </c>
      <c r="F19" s="127">
        <f t="shared" si="0"/>
        <v>100.45203415369161</v>
      </c>
    </row>
    <row r="20" spans="1:6" ht="15.75" x14ac:dyDescent="0.25">
      <c r="A20" s="132" t="s">
        <v>57</v>
      </c>
      <c r="B20" s="124"/>
      <c r="C20" s="124"/>
      <c r="D20" s="126">
        <f>SUM('POSEBNI DIO'!G190)</f>
        <v>132723</v>
      </c>
      <c r="E20" s="126">
        <f>SUM('POSEBNI DIO'!H190)</f>
        <v>250000</v>
      </c>
      <c r="F20" s="127">
        <f t="shared" si="0"/>
        <v>188.36222809912374</v>
      </c>
    </row>
    <row r="21" spans="1:6" ht="15.75" x14ac:dyDescent="0.25">
      <c r="A21" s="52" t="s">
        <v>58</v>
      </c>
      <c r="B21" s="52"/>
      <c r="C21" s="52"/>
      <c r="D21" s="53">
        <f>SUM(D22:D23)</f>
        <v>159267</v>
      </c>
      <c r="E21" s="53">
        <f t="shared" ref="E21" si="3">SUM(E22:E23)</f>
        <v>181000</v>
      </c>
      <c r="F21" s="54">
        <f t="shared" si="0"/>
        <v>113.64563908405383</v>
      </c>
    </row>
    <row r="22" spans="1:6" ht="15.75" x14ac:dyDescent="0.25">
      <c r="A22" s="132" t="s">
        <v>59</v>
      </c>
      <c r="B22" s="124"/>
      <c r="C22" s="124"/>
      <c r="D22" s="126">
        <f>SUM('POSEBNI DIO'!G62)+'POSEBNI DIO'!G174+'POSEBNI DIO'!G225</f>
        <v>26544</v>
      </c>
      <c r="E22" s="126">
        <f>SUM('POSEBNI DIO'!H62)+'POSEBNI DIO'!H174+'POSEBNI DIO'!H225</f>
        <v>21000</v>
      </c>
      <c r="F22" s="127">
        <f t="shared" si="0"/>
        <v>79.113924050632917</v>
      </c>
    </row>
    <row r="23" spans="1:6" ht="15.75" x14ac:dyDescent="0.25">
      <c r="A23" s="132" t="s">
        <v>274</v>
      </c>
      <c r="B23" s="124"/>
      <c r="C23" s="124"/>
      <c r="D23" s="126">
        <f>SUM('POSEBNI DIO'!G204)</f>
        <v>132723</v>
      </c>
      <c r="E23" s="126">
        <f>SUM('POSEBNI DIO'!H204)</f>
        <v>160000</v>
      </c>
      <c r="F23" s="127">
        <f t="shared" si="0"/>
        <v>120.55182598343919</v>
      </c>
    </row>
    <row r="24" spans="1:6" ht="15.75" x14ac:dyDescent="0.25">
      <c r="A24" s="52" t="s">
        <v>60</v>
      </c>
      <c r="B24" s="52"/>
      <c r="C24" s="52"/>
      <c r="D24" s="53">
        <f>SUM(D25:D27)</f>
        <v>828191</v>
      </c>
      <c r="E24" s="53">
        <f t="shared" ref="E24" si="4">SUM(E25:E27)</f>
        <v>430500</v>
      </c>
      <c r="F24" s="54">
        <f t="shared" si="0"/>
        <v>51.9807628916518</v>
      </c>
    </row>
    <row r="25" spans="1:6" ht="15.75" x14ac:dyDescent="0.25">
      <c r="A25" s="132" t="s">
        <v>61</v>
      </c>
      <c r="B25" s="124"/>
      <c r="C25" s="124"/>
      <c r="D25" s="126">
        <f>SUM('POSEBNI DIO'!G69)+'POSEBNI DIO'!G211</f>
        <v>54416</v>
      </c>
      <c r="E25" s="126">
        <f>SUM('POSEBNI DIO'!H69)+'POSEBNI DIO'!H211</f>
        <v>110500</v>
      </c>
      <c r="F25" s="127">
        <f t="shared" si="0"/>
        <v>203.06527491914142</v>
      </c>
    </row>
    <row r="26" spans="1:6" ht="15.75" x14ac:dyDescent="0.25">
      <c r="A26" s="132" t="s">
        <v>62</v>
      </c>
      <c r="B26" s="124"/>
      <c r="C26" s="124"/>
      <c r="D26" s="126">
        <f>SUM('POSEBNI DIO'!G163)+'POSEBNI DIO'!G167+'POSEBNI DIO'!G239</f>
        <v>79633</v>
      </c>
      <c r="E26" s="126">
        <f>SUM('POSEBNI DIO'!H163)+'POSEBNI DIO'!H167+'POSEBNI DIO'!H239</f>
        <v>98000</v>
      </c>
      <c r="F26" s="127">
        <f t="shared" si="0"/>
        <v>123.06455866286589</v>
      </c>
    </row>
    <row r="27" spans="1:6" ht="31.5" x14ac:dyDescent="0.25">
      <c r="A27" s="161" t="s">
        <v>273</v>
      </c>
      <c r="B27" s="124"/>
      <c r="C27" s="124"/>
      <c r="D27" s="126">
        <f>SUM('POSEBNI DIO'!G159)+'POSEBNI DIO'!G178+'POSEBNI DIO'!G182+'POSEBNI DIO'!G197+'POSEBNI DIO'!G232+'POSEBNI DIO'!G246+'POSEBNI DIO'!G260</f>
        <v>694142</v>
      </c>
      <c r="E27" s="126">
        <f>SUM('POSEBNI DIO'!H159)+'POSEBNI DIO'!H178+'POSEBNI DIO'!H182+'POSEBNI DIO'!H197+'POSEBNI DIO'!H232+'POSEBNI DIO'!H246+'POSEBNI DIO'!H260</f>
        <v>222000</v>
      </c>
      <c r="F27" s="127">
        <f t="shared" si="0"/>
        <v>31.981928769617745</v>
      </c>
    </row>
    <row r="28" spans="1:6" ht="15.75" x14ac:dyDescent="0.25">
      <c r="A28" s="52" t="s">
        <v>63</v>
      </c>
      <c r="B28" s="52"/>
      <c r="C28" s="52"/>
      <c r="D28" s="53">
        <f>SUM(D29:D32)</f>
        <v>165902</v>
      </c>
      <c r="E28" s="53">
        <f t="shared" ref="E28" si="5">SUM(E29:E32)</f>
        <v>217500</v>
      </c>
      <c r="F28" s="54">
        <f t="shared" si="0"/>
        <v>131.10149365287941</v>
      </c>
    </row>
    <row r="29" spans="1:6" ht="15.75" x14ac:dyDescent="0.25">
      <c r="A29" s="132" t="s">
        <v>64</v>
      </c>
      <c r="B29" s="124"/>
      <c r="C29" s="124"/>
      <c r="D29" s="126">
        <f>SUM('POSEBNI DIO'!G218)+'POSEBNI DIO'!G267+'POSEBNI DIO'!G336+'POSEBNI DIO'!G329+'POSEBNI DIO'!G340</f>
        <v>83615</v>
      </c>
      <c r="E29" s="126">
        <f>SUM('POSEBNI DIO'!H218)+'POSEBNI DIO'!H267+'POSEBNI DIO'!H336+'POSEBNI DIO'!H329+'POSEBNI DIO'!H340</f>
        <v>122000</v>
      </c>
      <c r="F29" s="127">
        <f t="shared" si="0"/>
        <v>145.90683489804462</v>
      </c>
    </row>
    <row r="30" spans="1:6" ht="15.75" x14ac:dyDescent="0.25">
      <c r="A30" s="132" t="s">
        <v>65</v>
      </c>
      <c r="B30" s="124"/>
      <c r="C30" s="124"/>
      <c r="D30" s="126">
        <f>SUM('POSEBNI DIO'!G274)+'POSEBNI DIO'!G301+'POSEBNI DIO'!G309+'POSEBNI DIO'!G317+'POSEBNI DIO'!G321+'POSEBNI DIO'!G345</f>
        <v>53089</v>
      </c>
      <c r="E30" s="126">
        <f>SUM('POSEBNI DIO'!H274)+'POSEBNI DIO'!H301+'POSEBNI DIO'!H309+'POSEBNI DIO'!H317+'POSEBNI DIO'!H321+'POSEBNI DIO'!H345</f>
        <v>58000</v>
      </c>
      <c r="F30" s="127">
        <f t="shared" si="0"/>
        <v>109.25050387085837</v>
      </c>
    </row>
    <row r="31" spans="1:6" ht="15.75" x14ac:dyDescent="0.25">
      <c r="A31" s="132" t="s">
        <v>66</v>
      </c>
      <c r="B31" s="124"/>
      <c r="C31" s="124"/>
      <c r="D31" s="126">
        <f>SUM('POSEBNI DIO'!G305)</f>
        <v>2654</v>
      </c>
      <c r="E31" s="126">
        <f>SUM('POSEBNI DIO'!H305)</f>
        <v>2500</v>
      </c>
      <c r="F31" s="127">
        <f t="shared" si="0"/>
        <v>94.19743782969104</v>
      </c>
    </row>
    <row r="32" spans="1:6" ht="15.75" x14ac:dyDescent="0.25">
      <c r="A32" s="132" t="s">
        <v>67</v>
      </c>
      <c r="B32" s="124"/>
      <c r="C32" s="124"/>
      <c r="D32" s="126">
        <f>SUM('POSEBNI DIO'!G281)+'POSEBNI DIO'!G313</f>
        <v>26544</v>
      </c>
      <c r="E32" s="126">
        <f>SUM('POSEBNI DIO'!H281)+'POSEBNI DIO'!H313</f>
        <v>35000</v>
      </c>
      <c r="F32" s="127">
        <f t="shared" si="0"/>
        <v>131.85654008438817</v>
      </c>
    </row>
    <row r="33" spans="1:6" ht="15.75" x14ac:dyDescent="0.25">
      <c r="A33" s="52" t="s">
        <v>68</v>
      </c>
      <c r="B33" s="52"/>
      <c r="C33" s="52"/>
      <c r="D33" s="53">
        <f>SUM(D34:D36)</f>
        <v>284027</v>
      </c>
      <c r="E33" s="53">
        <f t="shared" ref="E33" si="6">SUM(E34:E36)</f>
        <v>230000</v>
      </c>
      <c r="F33" s="54">
        <f t="shared" si="0"/>
        <v>80.978216859664755</v>
      </c>
    </row>
    <row r="34" spans="1:6" ht="15.75" x14ac:dyDescent="0.25">
      <c r="A34" s="132" t="s">
        <v>69</v>
      </c>
      <c r="B34" s="124"/>
      <c r="C34" s="124"/>
      <c r="D34" s="126">
        <f>SUM('POSEBNI DIO'!G129)+'POSEBNI DIO'!G150+'POSEBNI DIO'!G154+'POSEBNI DIO'!G253</f>
        <v>232928</v>
      </c>
      <c r="E34" s="126">
        <f>SUM('POSEBNI DIO'!H129)+'POSEBNI DIO'!H150+'POSEBNI DIO'!H154+'POSEBNI DIO'!H253</f>
        <v>174000</v>
      </c>
      <c r="F34" s="127">
        <f t="shared" si="0"/>
        <v>74.701195219123505</v>
      </c>
    </row>
    <row r="35" spans="1:6" ht="15.75" x14ac:dyDescent="0.25">
      <c r="A35" s="132" t="s">
        <v>136</v>
      </c>
      <c r="B35" s="124"/>
      <c r="C35" s="124"/>
      <c r="D35" s="126">
        <f>SUM('POSEBNI DIO'!G136)</f>
        <v>29863</v>
      </c>
      <c r="E35" s="126">
        <f>SUM('POSEBNI DIO'!H136)</f>
        <v>35000</v>
      </c>
      <c r="F35" s="127">
        <f t="shared" si="0"/>
        <v>117.20188862471956</v>
      </c>
    </row>
    <row r="36" spans="1:6" ht="15.75" x14ac:dyDescent="0.25">
      <c r="A36" s="132" t="s">
        <v>70</v>
      </c>
      <c r="B36" s="124"/>
      <c r="C36" s="124"/>
      <c r="D36" s="126">
        <f>SUM('POSEBNI DIO'!G143)</f>
        <v>21236</v>
      </c>
      <c r="E36" s="126">
        <f>SUM('POSEBNI DIO'!H143)</f>
        <v>21000</v>
      </c>
      <c r="F36" s="127">
        <f t="shared" si="0"/>
        <v>98.888679600678103</v>
      </c>
    </row>
    <row r="37" spans="1:6" ht="15.75" x14ac:dyDescent="0.25">
      <c r="A37" s="52" t="s">
        <v>71</v>
      </c>
      <c r="B37" s="52"/>
      <c r="C37" s="52"/>
      <c r="D37" s="53">
        <f>SUM(D38:D40)</f>
        <v>144005</v>
      </c>
      <c r="E37" s="53">
        <f t="shared" ref="E37" si="7">SUM(E38:E40)</f>
        <v>141500</v>
      </c>
      <c r="F37" s="54">
        <f t="shared" si="0"/>
        <v>98.260477066768516</v>
      </c>
    </row>
    <row r="38" spans="1:6" ht="15.75" x14ac:dyDescent="0.25">
      <c r="A38" s="132" t="s">
        <v>275</v>
      </c>
      <c r="B38" s="124"/>
      <c r="C38" s="124"/>
      <c r="D38" s="126">
        <f>SUM('POSEBNI DIO'!G360)+'POSEBNI DIO'!G364</f>
        <v>108169</v>
      </c>
      <c r="E38" s="126">
        <f>SUM('POSEBNI DIO'!H360)+'POSEBNI DIO'!H364</f>
        <v>111500</v>
      </c>
      <c r="F38" s="127">
        <f t="shared" si="0"/>
        <v>103.07944050513549</v>
      </c>
    </row>
    <row r="39" spans="1:6" ht="15.75" x14ac:dyDescent="0.25">
      <c r="A39" s="132" t="s">
        <v>72</v>
      </c>
      <c r="B39" s="124"/>
      <c r="C39" s="124"/>
      <c r="D39" s="126">
        <f>SUM('POSEBNI DIO'!G353)</f>
        <v>26545</v>
      </c>
      <c r="E39" s="126">
        <f>SUM('POSEBNI DIO'!H353)</f>
        <v>20000</v>
      </c>
      <c r="F39" s="127">
        <f t="shared" si="0"/>
        <v>75.343755886230923</v>
      </c>
    </row>
    <row r="40" spans="1:6" ht="47.25" x14ac:dyDescent="0.25">
      <c r="A40" s="161" t="s">
        <v>73</v>
      </c>
      <c r="B40" s="124"/>
      <c r="C40" s="124"/>
      <c r="D40" s="126">
        <f>SUM('POSEBNI DIO'!G349)</f>
        <v>9291</v>
      </c>
      <c r="E40" s="126">
        <f>SUM('POSEBNI DIO'!H349)</f>
        <v>10000</v>
      </c>
      <c r="F40" s="127">
        <f t="shared" si="0"/>
        <v>107.63104079216446</v>
      </c>
    </row>
  </sheetData>
  <mergeCells count="4">
    <mergeCell ref="A1:F1"/>
    <mergeCell ref="A3:F3"/>
    <mergeCell ref="A5:F5"/>
    <mergeCell ref="A7:F7"/>
  </mergeCells>
  <pageMargins left="0.70866141732283472" right="0.70866141732283472" top="0.74803149606299213" bottom="0.74803149606299213" header="0.31496062992125984" footer="0.31496062992125984"/>
  <pageSetup paperSize="9" scale="57" firstPageNumber="3" orientation="portrait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75"/>
  <sheetViews>
    <sheetView tabSelected="1" topLeftCell="A347" zoomScaleNormal="100" workbookViewId="0">
      <selection activeCell="G374" sqref="G374"/>
    </sheetView>
  </sheetViews>
  <sheetFormatPr defaultColWidth="9.140625" defaultRowHeight="15" x14ac:dyDescent="0.25"/>
  <cols>
    <col min="1" max="1" width="7.42578125" style="1" bestFit="1" customWidth="1"/>
    <col min="2" max="2" width="8.42578125" style="1" bestFit="1" customWidth="1"/>
    <col min="3" max="3" width="8.7109375" style="1" customWidth="1"/>
    <col min="4" max="4" width="30" style="1" customWidth="1"/>
    <col min="5" max="5" width="25.5703125" style="1" hidden="1" customWidth="1"/>
    <col min="6" max="6" width="25.7109375" style="1" hidden="1" customWidth="1"/>
    <col min="7" max="7" width="25.28515625" style="10" customWidth="1"/>
    <col min="8" max="8" width="20.28515625" style="10" customWidth="1"/>
    <col min="9" max="9" width="25.28515625" style="10" customWidth="1"/>
    <col min="10" max="10" width="8.7109375" style="26" customWidth="1"/>
    <col min="11" max="11" width="12.28515625" style="29" bestFit="1" customWidth="1"/>
    <col min="12" max="12" width="10.7109375" style="26" bestFit="1" customWidth="1"/>
    <col min="13" max="13" width="10.7109375" style="1" bestFit="1" customWidth="1"/>
    <col min="14" max="14" width="17.7109375" style="1" customWidth="1"/>
    <col min="15" max="15" width="15.85546875" style="1" customWidth="1"/>
    <col min="16" max="16384" width="9.140625" style="1"/>
  </cols>
  <sheetData>
    <row r="1" spans="1:15" ht="42" customHeight="1" x14ac:dyDescent="0.25">
      <c r="A1" s="166" t="s">
        <v>286</v>
      </c>
      <c r="B1" s="166"/>
      <c r="C1" s="166"/>
      <c r="D1" s="166"/>
      <c r="E1" s="166"/>
      <c r="F1" s="166"/>
      <c r="G1" s="166"/>
      <c r="H1" s="166"/>
      <c r="I1" s="166"/>
    </row>
    <row r="2" spans="1:15" ht="15.75" x14ac:dyDescent="0.25">
      <c r="A2" s="40"/>
      <c r="B2" s="40"/>
      <c r="C2" s="40"/>
      <c r="D2" s="40"/>
      <c r="E2" s="40"/>
      <c r="F2" s="40"/>
      <c r="G2" s="40"/>
      <c r="H2" s="40"/>
      <c r="I2" s="73">
        <v>100</v>
      </c>
    </row>
    <row r="3" spans="1:15" ht="18" customHeight="1" x14ac:dyDescent="0.25">
      <c r="A3" s="166" t="s">
        <v>38</v>
      </c>
      <c r="B3" s="189"/>
      <c r="C3" s="189"/>
      <c r="D3" s="189"/>
      <c r="E3" s="189"/>
      <c r="F3" s="189"/>
      <c r="G3" s="189"/>
      <c r="H3" s="189"/>
      <c r="I3" s="189"/>
    </row>
    <row r="4" spans="1:15" ht="15.75" x14ac:dyDescent="0.25">
      <c r="A4" s="40"/>
      <c r="B4" s="40"/>
      <c r="C4" s="40"/>
      <c r="D4" s="40"/>
      <c r="E4" s="40"/>
      <c r="F4" s="40"/>
      <c r="G4" s="55"/>
      <c r="H4" s="55"/>
      <c r="I4" s="55"/>
    </row>
    <row r="5" spans="1:15" ht="31.5" x14ac:dyDescent="0.25">
      <c r="A5" s="208" t="s">
        <v>40</v>
      </c>
      <c r="B5" s="209"/>
      <c r="C5" s="210"/>
      <c r="D5" s="57" t="s">
        <v>41</v>
      </c>
      <c r="E5" s="57" t="s">
        <v>9</v>
      </c>
      <c r="F5" s="43" t="s">
        <v>10</v>
      </c>
      <c r="G5" s="43" t="s">
        <v>11</v>
      </c>
      <c r="H5" s="43" t="s">
        <v>281</v>
      </c>
      <c r="I5" s="43" t="s">
        <v>277</v>
      </c>
    </row>
    <row r="6" spans="1:15" ht="15.75" x14ac:dyDescent="0.25">
      <c r="A6" s="56"/>
      <c r="B6" s="74"/>
      <c r="C6" s="75"/>
      <c r="D6" s="57"/>
      <c r="E6" s="57"/>
      <c r="F6" s="43"/>
      <c r="G6" s="43">
        <v>1</v>
      </c>
      <c r="H6" s="43">
        <v>2</v>
      </c>
      <c r="I6" s="43" t="s">
        <v>285</v>
      </c>
    </row>
    <row r="7" spans="1:15" ht="15.75" customHeight="1" x14ac:dyDescent="0.25">
      <c r="A7" s="214" t="s">
        <v>84</v>
      </c>
      <c r="B7" s="215"/>
      <c r="C7" s="216"/>
      <c r="D7" s="58" t="s">
        <v>85</v>
      </c>
      <c r="E7" s="76"/>
      <c r="F7" s="77"/>
      <c r="G7" s="59">
        <f>SUM(G10,G14,G20,G24,G29,G33,G37,G41,G45,G49,G54,G58,G62,G69,G73,G77,G81,G85,G89,G93,G97,G101,G105,G109,G114,G120,G124,G129,G136,G143,G150,G154,G159,G163,G167,G174,G178,G182,G190,G197,G204,G211,G218,G225,G232,G239,G246,G253,G260,G267,G274,G281,G289,G293,G301,G305,G309,G313,G317,G321,G329,G336,G340,G345,G349,G353,G360,G364)</f>
        <v>1863747</v>
      </c>
      <c r="H7" s="59">
        <f>SUM(H10,H14,H20,H24,H29,H33,H37,H41,H45,H49,H54,H58,H62,H69,H73,H77,H81,H85,H89,H93,H97,H101,H105,H109,H114,H120,H124,H129,H136,H143,H150,H154,H159,H163,H167,H174,H178,H182,H190,H197,H204,H211,H218,H225,H232,H239,H246,H253,H260,H267,H274,H281,H289,H293,H301,H305,H309,H313,H317,H321,H329,H336,H340,H345,H349,H353,H360,H364)</f>
        <v>1615255</v>
      </c>
      <c r="I7" s="60">
        <f>H7/G7*$I$2</f>
        <v>86.667074447336461</v>
      </c>
      <c r="L7" s="29"/>
      <c r="M7" s="29"/>
    </row>
    <row r="8" spans="1:15" ht="15.75" customHeight="1" x14ac:dyDescent="0.25">
      <c r="A8" s="217" t="s">
        <v>87</v>
      </c>
      <c r="B8" s="218"/>
      <c r="C8" s="219"/>
      <c r="D8" s="61" t="s">
        <v>86</v>
      </c>
      <c r="E8" s="78"/>
      <c r="F8" s="79"/>
      <c r="G8" s="62">
        <f>G9</f>
        <v>1725</v>
      </c>
      <c r="H8" s="62">
        <v>1725</v>
      </c>
      <c r="I8" s="63">
        <f t="shared" ref="I8:I71" si="0">H8/G8*$I$2</f>
        <v>100</v>
      </c>
      <c r="L8" s="29"/>
      <c r="M8" s="29"/>
    </row>
    <row r="9" spans="1:15" ht="15.75" x14ac:dyDescent="0.25">
      <c r="A9" s="220" t="s">
        <v>91</v>
      </c>
      <c r="B9" s="221"/>
      <c r="C9" s="222"/>
      <c r="D9" s="64" t="s">
        <v>88</v>
      </c>
      <c r="E9" s="71"/>
      <c r="F9" s="46"/>
      <c r="G9" s="65">
        <f>SUM(G10,G14)</f>
        <v>1725</v>
      </c>
      <c r="H9" s="65">
        <f>SUM(H10,H14)</f>
        <v>1725</v>
      </c>
      <c r="I9" s="47">
        <f t="shared" si="0"/>
        <v>100</v>
      </c>
      <c r="N9" s="4"/>
      <c r="O9" s="4"/>
    </row>
    <row r="10" spans="1:15" ht="31.5" x14ac:dyDescent="0.25">
      <c r="A10" s="211" t="s">
        <v>93</v>
      </c>
      <c r="B10" s="212"/>
      <c r="C10" s="213"/>
      <c r="D10" s="66" t="s">
        <v>89</v>
      </c>
      <c r="E10" s="68"/>
      <c r="F10" s="49"/>
      <c r="G10" s="67">
        <v>0</v>
      </c>
      <c r="H10" s="67">
        <v>0</v>
      </c>
      <c r="I10" s="50"/>
      <c r="N10" s="4"/>
      <c r="O10" s="4"/>
    </row>
    <row r="11" spans="1:15" ht="15.75" x14ac:dyDescent="0.25">
      <c r="A11" s="205" t="s">
        <v>144</v>
      </c>
      <c r="B11" s="206"/>
      <c r="C11" s="207"/>
      <c r="D11" s="80" t="s">
        <v>19</v>
      </c>
      <c r="E11" s="69"/>
      <c r="F11" s="70"/>
      <c r="G11" s="81">
        <v>0</v>
      </c>
      <c r="H11" s="81">
        <f>H10</f>
        <v>0</v>
      </c>
      <c r="I11" s="82"/>
    </row>
    <row r="12" spans="1:15" ht="15.75" x14ac:dyDescent="0.25">
      <c r="A12" s="193">
        <v>3</v>
      </c>
      <c r="B12" s="194"/>
      <c r="C12" s="195"/>
      <c r="D12" s="83" t="s">
        <v>24</v>
      </c>
      <c r="E12" s="69"/>
      <c r="F12" s="70"/>
      <c r="G12" s="81">
        <v>0</v>
      </c>
      <c r="H12" s="81">
        <f t="shared" ref="H12:H13" si="1">H11</f>
        <v>0</v>
      </c>
      <c r="I12" s="82"/>
    </row>
    <row r="13" spans="1:15" ht="15.75" x14ac:dyDescent="0.25">
      <c r="A13" s="196">
        <v>32</v>
      </c>
      <c r="B13" s="197"/>
      <c r="C13" s="198"/>
      <c r="D13" s="83" t="s">
        <v>42</v>
      </c>
      <c r="E13" s="69"/>
      <c r="F13" s="70"/>
      <c r="G13" s="81">
        <v>0</v>
      </c>
      <c r="H13" s="81">
        <f t="shared" si="1"/>
        <v>0</v>
      </c>
      <c r="I13" s="82"/>
    </row>
    <row r="14" spans="1:15" ht="14.45" customHeight="1" x14ac:dyDescent="0.25">
      <c r="A14" s="211" t="s">
        <v>95</v>
      </c>
      <c r="B14" s="212"/>
      <c r="C14" s="213"/>
      <c r="D14" s="66" t="s">
        <v>90</v>
      </c>
      <c r="E14" s="68"/>
      <c r="F14" s="49"/>
      <c r="G14" s="67">
        <v>1725</v>
      </c>
      <c r="H14" s="67">
        <v>1725</v>
      </c>
      <c r="I14" s="50">
        <f t="shared" si="0"/>
        <v>100</v>
      </c>
    </row>
    <row r="15" spans="1:15" ht="14.45" customHeight="1" x14ac:dyDescent="0.25">
      <c r="A15" s="205" t="s">
        <v>144</v>
      </c>
      <c r="B15" s="206"/>
      <c r="C15" s="207"/>
      <c r="D15" s="80" t="s">
        <v>19</v>
      </c>
      <c r="E15" s="69"/>
      <c r="F15" s="70"/>
      <c r="G15" s="81">
        <v>1725</v>
      </c>
      <c r="H15" s="81">
        <f>H14</f>
        <v>1725</v>
      </c>
      <c r="I15" s="82">
        <f t="shared" si="0"/>
        <v>100</v>
      </c>
    </row>
    <row r="16" spans="1:15" ht="15.75" x14ac:dyDescent="0.25">
      <c r="A16" s="193">
        <v>3</v>
      </c>
      <c r="B16" s="194"/>
      <c r="C16" s="195"/>
      <c r="D16" s="83" t="s">
        <v>24</v>
      </c>
      <c r="E16" s="69"/>
      <c r="F16" s="70"/>
      <c r="G16" s="81">
        <v>1725</v>
      </c>
      <c r="H16" s="81">
        <f t="shared" ref="H16:H17" si="2">H15</f>
        <v>1725</v>
      </c>
      <c r="I16" s="82">
        <f t="shared" si="0"/>
        <v>100</v>
      </c>
      <c r="J16" s="27"/>
    </row>
    <row r="17" spans="1:13" ht="15.75" x14ac:dyDescent="0.25">
      <c r="A17" s="196">
        <v>38</v>
      </c>
      <c r="B17" s="197"/>
      <c r="C17" s="198"/>
      <c r="D17" s="83" t="s">
        <v>82</v>
      </c>
      <c r="E17" s="69"/>
      <c r="F17" s="70"/>
      <c r="G17" s="81">
        <v>1725</v>
      </c>
      <c r="H17" s="81">
        <f t="shared" si="2"/>
        <v>1725</v>
      </c>
      <c r="I17" s="82">
        <f t="shared" si="0"/>
        <v>100</v>
      </c>
      <c r="L17" s="29"/>
    </row>
    <row r="18" spans="1:13" ht="31.5" x14ac:dyDescent="0.25">
      <c r="A18" s="217" t="s">
        <v>92</v>
      </c>
      <c r="B18" s="218"/>
      <c r="C18" s="219"/>
      <c r="D18" s="61" t="s">
        <v>161</v>
      </c>
      <c r="E18" s="78"/>
      <c r="F18" s="79"/>
      <c r="G18" s="62">
        <f>SUM(G19,G28,G53,G113,G119,G128,G158,G189,G288,G300,G328,G344)</f>
        <v>1862022</v>
      </c>
      <c r="H18" s="62">
        <f>SUM(H19,H28,H53,H113,H119,H128,H158,H189,H288,H300,H328,H344)</f>
        <v>1613530</v>
      </c>
      <c r="I18" s="63">
        <f t="shared" si="0"/>
        <v>86.654722661708618</v>
      </c>
      <c r="L18" s="29"/>
      <c r="M18" s="30"/>
    </row>
    <row r="19" spans="1:13" ht="47.25" x14ac:dyDescent="0.25">
      <c r="A19" s="223" t="s">
        <v>97</v>
      </c>
      <c r="B19" s="224"/>
      <c r="C19" s="225"/>
      <c r="D19" s="64" t="s">
        <v>162</v>
      </c>
      <c r="E19" s="71"/>
      <c r="F19" s="46"/>
      <c r="G19" s="65">
        <f>SUM(G20,G24)</f>
        <v>54549</v>
      </c>
      <c r="H19" s="65">
        <f>SUM(H20,H24)</f>
        <v>55700</v>
      </c>
      <c r="I19" s="47">
        <f t="shared" si="0"/>
        <v>102.11002951474822</v>
      </c>
    </row>
    <row r="20" spans="1:13" ht="15.75" x14ac:dyDescent="0.25">
      <c r="A20" s="226" t="s">
        <v>99</v>
      </c>
      <c r="B20" s="227"/>
      <c r="C20" s="228"/>
      <c r="D20" s="66" t="s">
        <v>163</v>
      </c>
      <c r="E20" s="68"/>
      <c r="F20" s="49"/>
      <c r="G20" s="67">
        <v>47913</v>
      </c>
      <c r="H20" s="67">
        <v>49000</v>
      </c>
      <c r="I20" s="50">
        <f t="shared" si="0"/>
        <v>102.26869534364369</v>
      </c>
    </row>
    <row r="21" spans="1:13" ht="15.75" x14ac:dyDescent="0.25">
      <c r="A21" s="205" t="s">
        <v>144</v>
      </c>
      <c r="B21" s="206"/>
      <c r="C21" s="207"/>
      <c r="D21" s="80" t="s">
        <v>19</v>
      </c>
      <c r="E21" s="69"/>
      <c r="F21" s="70"/>
      <c r="G21" s="81">
        <v>47913</v>
      </c>
      <c r="H21" s="81">
        <f>SUM(H20)</f>
        <v>49000</v>
      </c>
      <c r="I21" s="82">
        <f t="shared" si="0"/>
        <v>102.26869534364369</v>
      </c>
    </row>
    <row r="22" spans="1:13" ht="15.75" x14ac:dyDescent="0.25">
      <c r="A22" s="193">
        <v>3</v>
      </c>
      <c r="B22" s="194"/>
      <c r="C22" s="195"/>
      <c r="D22" s="83" t="s">
        <v>24</v>
      </c>
      <c r="E22" s="69"/>
      <c r="F22" s="70"/>
      <c r="G22" s="81">
        <v>47913</v>
      </c>
      <c r="H22" s="81">
        <f t="shared" ref="H22:H23" si="3">SUM(H21)</f>
        <v>49000</v>
      </c>
      <c r="I22" s="82">
        <f t="shared" si="0"/>
        <v>102.26869534364369</v>
      </c>
    </row>
    <row r="23" spans="1:13" ht="15.75" x14ac:dyDescent="0.25">
      <c r="A23" s="196">
        <v>31</v>
      </c>
      <c r="B23" s="197"/>
      <c r="C23" s="198"/>
      <c r="D23" s="83" t="s">
        <v>94</v>
      </c>
      <c r="E23" s="69"/>
      <c r="F23" s="70"/>
      <c r="G23" s="81">
        <v>47913</v>
      </c>
      <c r="H23" s="81">
        <f t="shared" si="3"/>
        <v>49000</v>
      </c>
      <c r="I23" s="82">
        <f t="shared" si="0"/>
        <v>102.26869534364369</v>
      </c>
    </row>
    <row r="24" spans="1:13" ht="15.75" x14ac:dyDescent="0.25">
      <c r="A24" s="211" t="s">
        <v>100</v>
      </c>
      <c r="B24" s="212"/>
      <c r="C24" s="213"/>
      <c r="D24" s="66" t="s">
        <v>96</v>
      </c>
      <c r="E24" s="68"/>
      <c r="F24" s="49"/>
      <c r="G24" s="67">
        <v>6636</v>
      </c>
      <c r="H24" s="67">
        <v>6700</v>
      </c>
      <c r="I24" s="50">
        <f t="shared" si="0"/>
        <v>100.96443640747439</v>
      </c>
    </row>
    <row r="25" spans="1:13" ht="15.75" x14ac:dyDescent="0.25">
      <c r="A25" s="205" t="s">
        <v>144</v>
      </c>
      <c r="B25" s="206"/>
      <c r="C25" s="207"/>
      <c r="D25" s="80" t="s">
        <v>19</v>
      </c>
      <c r="E25" s="69"/>
      <c r="F25" s="70"/>
      <c r="G25" s="81">
        <v>6636</v>
      </c>
      <c r="H25" s="81">
        <f>SUM(H24)</f>
        <v>6700</v>
      </c>
      <c r="I25" s="82">
        <f t="shared" si="0"/>
        <v>100.96443640747439</v>
      </c>
    </row>
    <row r="26" spans="1:13" ht="15.75" x14ac:dyDescent="0.25">
      <c r="A26" s="193">
        <v>3</v>
      </c>
      <c r="B26" s="194"/>
      <c r="C26" s="195"/>
      <c r="D26" s="83" t="s">
        <v>24</v>
      </c>
      <c r="E26" s="69"/>
      <c r="F26" s="70"/>
      <c r="G26" s="81">
        <v>6636</v>
      </c>
      <c r="H26" s="81">
        <f t="shared" ref="H26:H27" si="4">SUM(H25)</f>
        <v>6700</v>
      </c>
      <c r="I26" s="82">
        <f t="shared" si="0"/>
        <v>100.96443640747439</v>
      </c>
    </row>
    <row r="27" spans="1:13" ht="15.75" x14ac:dyDescent="0.25">
      <c r="A27" s="196">
        <v>32</v>
      </c>
      <c r="B27" s="197"/>
      <c r="C27" s="198"/>
      <c r="D27" s="83" t="s">
        <v>42</v>
      </c>
      <c r="E27" s="69"/>
      <c r="F27" s="70"/>
      <c r="G27" s="81">
        <v>6636</v>
      </c>
      <c r="H27" s="81">
        <f t="shared" si="4"/>
        <v>6700</v>
      </c>
      <c r="I27" s="82">
        <f t="shared" si="0"/>
        <v>100.96443640747439</v>
      </c>
    </row>
    <row r="28" spans="1:13" ht="31.5" x14ac:dyDescent="0.25">
      <c r="A28" s="220" t="s">
        <v>101</v>
      </c>
      <c r="B28" s="221"/>
      <c r="C28" s="222"/>
      <c r="D28" s="64" t="s">
        <v>102</v>
      </c>
      <c r="E28" s="71"/>
      <c r="F28" s="46"/>
      <c r="G28" s="65">
        <f>SUM(G29,G33,G37,G41,G45,G49)</f>
        <v>12529</v>
      </c>
      <c r="H28" s="65">
        <f>SUM(H29,H33,H37,H41,H45,H49)</f>
        <v>12100</v>
      </c>
      <c r="I28" s="47">
        <f t="shared" si="0"/>
        <v>96.575943810359959</v>
      </c>
    </row>
    <row r="29" spans="1:13" ht="15.75" x14ac:dyDescent="0.25">
      <c r="A29" s="211" t="s">
        <v>103</v>
      </c>
      <c r="B29" s="212"/>
      <c r="C29" s="213"/>
      <c r="D29" s="66" t="s">
        <v>104</v>
      </c>
      <c r="E29" s="68"/>
      <c r="F29" s="49"/>
      <c r="G29" s="67">
        <v>2256</v>
      </c>
      <c r="H29" s="67">
        <v>2000</v>
      </c>
      <c r="I29" s="50">
        <f t="shared" si="0"/>
        <v>88.652482269503537</v>
      </c>
    </row>
    <row r="30" spans="1:13" ht="15.75" x14ac:dyDescent="0.25">
      <c r="A30" s="190" t="s">
        <v>144</v>
      </c>
      <c r="B30" s="191"/>
      <c r="C30" s="192"/>
      <c r="D30" s="83" t="s">
        <v>19</v>
      </c>
      <c r="E30" s="69"/>
      <c r="F30" s="70"/>
      <c r="G30" s="81">
        <v>2256</v>
      </c>
      <c r="H30" s="81">
        <f>SUM(H29)</f>
        <v>2000</v>
      </c>
      <c r="I30" s="82">
        <f t="shared" si="0"/>
        <v>88.652482269503537</v>
      </c>
    </row>
    <row r="31" spans="1:13" ht="15.75" x14ac:dyDescent="0.25">
      <c r="A31" s="193">
        <v>3</v>
      </c>
      <c r="B31" s="194"/>
      <c r="C31" s="195"/>
      <c r="D31" s="83" t="s">
        <v>24</v>
      </c>
      <c r="E31" s="69"/>
      <c r="F31" s="70"/>
      <c r="G31" s="81">
        <v>2256</v>
      </c>
      <c r="H31" s="81">
        <f t="shared" ref="H31:H32" si="5">SUM(H30)</f>
        <v>2000</v>
      </c>
      <c r="I31" s="82">
        <f t="shared" si="0"/>
        <v>88.652482269503537</v>
      </c>
    </row>
    <row r="32" spans="1:13" ht="15.75" x14ac:dyDescent="0.25">
      <c r="A32" s="196">
        <v>32</v>
      </c>
      <c r="B32" s="197"/>
      <c r="C32" s="198"/>
      <c r="D32" s="83" t="s">
        <v>42</v>
      </c>
      <c r="E32" s="69"/>
      <c r="F32" s="70"/>
      <c r="G32" s="81">
        <v>2256</v>
      </c>
      <c r="H32" s="81">
        <f t="shared" si="5"/>
        <v>2000</v>
      </c>
      <c r="I32" s="82">
        <f t="shared" si="0"/>
        <v>88.652482269503537</v>
      </c>
    </row>
    <row r="33" spans="1:9" ht="47.25" x14ac:dyDescent="0.25">
      <c r="A33" s="199" t="s">
        <v>105</v>
      </c>
      <c r="B33" s="200"/>
      <c r="C33" s="201"/>
      <c r="D33" s="66" t="s">
        <v>164</v>
      </c>
      <c r="E33" s="68"/>
      <c r="F33" s="49"/>
      <c r="G33" s="67">
        <v>1327</v>
      </c>
      <c r="H33" s="67">
        <v>1000</v>
      </c>
      <c r="I33" s="50">
        <f t="shared" si="0"/>
        <v>75.357950263752826</v>
      </c>
    </row>
    <row r="34" spans="1:9" ht="15.75" x14ac:dyDescent="0.25">
      <c r="A34" s="190" t="s">
        <v>144</v>
      </c>
      <c r="B34" s="191"/>
      <c r="C34" s="192"/>
      <c r="D34" s="83" t="s">
        <v>19</v>
      </c>
      <c r="E34" s="69"/>
      <c r="F34" s="70"/>
      <c r="G34" s="81">
        <v>1327</v>
      </c>
      <c r="H34" s="81">
        <f>SUM(H33)</f>
        <v>1000</v>
      </c>
      <c r="I34" s="82">
        <f t="shared" si="0"/>
        <v>75.357950263752826</v>
      </c>
    </row>
    <row r="35" spans="1:9" ht="15.75" x14ac:dyDescent="0.25">
      <c r="A35" s="193">
        <v>3</v>
      </c>
      <c r="B35" s="194"/>
      <c r="C35" s="195"/>
      <c r="D35" s="83" t="s">
        <v>98</v>
      </c>
      <c r="E35" s="69"/>
      <c r="F35" s="70"/>
      <c r="G35" s="81">
        <v>1327</v>
      </c>
      <c r="H35" s="81">
        <f t="shared" ref="H35:H36" si="6">SUM(H34)</f>
        <v>1000</v>
      </c>
      <c r="I35" s="82">
        <f t="shared" si="0"/>
        <v>75.357950263752826</v>
      </c>
    </row>
    <row r="36" spans="1:9" ht="15.75" x14ac:dyDescent="0.25">
      <c r="A36" s="196">
        <v>32</v>
      </c>
      <c r="B36" s="197"/>
      <c r="C36" s="198"/>
      <c r="D36" s="83" t="s">
        <v>106</v>
      </c>
      <c r="E36" s="69"/>
      <c r="F36" s="70"/>
      <c r="G36" s="81">
        <v>1327</v>
      </c>
      <c r="H36" s="81">
        <f t="shared" si="6"/>
        <v>1000</v>
      </c>
      <c r="I36" s="82">
        <f t="shared" si="0"/>
        <v>75.357950263752826</v>
      </c>
    </row>
    <row r="37" spans="1:9" ht="47.25" x14ac:dyDescent="0.25">
      <c r="A37" s="211" t="s">
        <v>107</v>
      </c>
      <c r="B37" s="212"/>
      <c r="C37" s="213"/>
      <c r="D37" s="66" t="s">
        <v>165</v>
      </c>
      <c r="E37" s="68"/>
      <c r="F37" s="49"/>
      <c r="G37" s="67">
        <v>319</v>
      </c>
      <c r="H37" s="67">
        <v>100</v>
      </c>
      <c r="I37" s="50">
        <f t="shared" si="0"/>
        <v>31.347962382445143</v>
      </c>
    </row>
    <row r="38" spans="1:9" ht="15.75" x14ac:dyDescent="0.25">
      <c r="A38" s="205" t="s">
        <v>144</v>
      </c>
      <c r="B38" s="206"/>
      <c r="C38" s="207"/>
      <c r="D38" s="83" t="s">
        <v>19</v>
      </c>
      <c r="E38" s="69"/>
      <c r="F38" s="70"/>
      <c r="G38" s="81">
        <v>319</v>
      </c>
      <c r="H38" s="81">
        <f>SUM(H37)</f>
        <v>100</v>
      </c>
      <c r="I38" s="82">
        <f t="shared" si="0"/>
        <v>31.347962382445143</v>
      </c>
    </row>
    <row r="39" spans="1:9" ht="15.75" x14ac:dyDescent="0.25">
      <c r="A39" s="193">
        <v>3</v>
      </c>
      <c r="B39" s="194"/>
      <c r="C39" s="195"/>
      <c r="D39" s="83" t="s">
        <v>98</v>
      </c>
      <c r="E39" s="69"/>
      <c r="F39" s="70"/>
      <c r="G39" s="81">
        <v>319</v>
      </c>
      <c r="H39" s="81">
        <f t="shared" ref="H39:H40" si="7">SUM(H38)</f>
        <v>100</v>
      </c>
      <c r="I39" s="82">
        <f t="shared" si="0"/>
        <v>31.347962382445143</v>
      </c>
    </row>
    <row r="40" spans="1:9" ht="15.75" x14ac:dyDescent="0.25">
      <c r="A40" s="196">
        <v>32</v>
      </c>
      <c r="B40" s="197"/>
      <c r="C40" s="198"/>
      <c r="D40" s="83" t="s">
        <v>42</v>
      </c>
      <c r="E40" s="69"/>
      <c r="F40" s="70"/>
      <c r="G40" s="81">
        <v>319</v>
      </c>
      <c r="H40" s="81">
        <f t="shared" si="7"/>
        <v>100</v>
      </c>
      <c r="I40" s="82">
        <f t="shared" si="0"/>
        <v>31.347962382445143</v>
      </c>
    </row>
    <row r="41" spans="1:9" ht="31.5" x14ac:dyDescent="0.25">
      <c r="A41" s="199" t="s">
        <v>108</v>
      </c>
      <c r="B41" s="200"/>
      <c r="C41" s="201"/>
      <c r="D41" s="66" t="s">
        <v>166</v>
      </c>
      <c r="E41" s="68"/>
      <c r="F41" s="49"/>
      <c r="G41" s="67">
        <v>3982</v>
      </c>
      <c r="H41" s="67">
        <v>4000</v>
      </c>
      <c r="I41" s="50">
        <f t="shared" si="0"/>
        <v>100.45203415369161</v>
      </c>
    </row>
    <row r="42" spans="1:9" ht="15.75" x14ac:dyDescent="0.25">
      <c r="A42" s="205" t="s">
        <v>144</v>
      </c>
      <c r="B42" s="206"/>
      <c r="C42" s="207"/>
      <c r="D42" s="83" t="s">
        <v>19</v>
      </c>
      <c r="E42" s="69"/>
      <c r="F42" s="70"/>
      <c r="G42" s="81">
        <v>3982</v>
      </c>
      <c r="H42" s="81">
        <f>SUM(H41)</f>
        <v>4000</v>
      </c>
      <c r="I42" s="82">
        <f t="shared" si="0"/>
        <v>100.45203415369161</v>
      </c>
    </row>
    <row r="43" spans="1:9" ht="15.75" x14ac:dyDescent="0.25">
      <c r="A43" s="193">
        <v>3</v>
      </c>
      <c r="B43" s="194"/>
      <c r="C43" s="195"/>
      <c r="D43" s="83" t="s">
        <v>98</v>
      </c>
      <c r="E43" s="69"/>
      <c r="F43" s="70"/>
      <c r="G43" s="81">
        <v>3982</v>
      </c>
      <c r="H43" s="81">
        <f t="shared" ref="H43:H44" si="8">SUM(H42)</f>
        <v>4000</v>
      </c>
      <c r="I43" s="82">
        <f t="shared" si="0"/>
        <v>100.45203415369161</v>
      </c>
    </row>
    <row r="44" spans="1:9" ht="15.75" x14ac:dyDescent="0.25">
      <c r="A44" s="196">
        <v>32</v>
      </c>
      <c r="B44" s="197"/>
      <c r="C44" s="198"/>
      <c r="D44" s="83" t="s">
        <v>106</v>
      </c>
      <c r="E44" s="69"/>
      <c r="F44" s="70"/>
      <c r="G44" s="81">
        <v>3982</v>
      </c>
      <c r="H44" s="81">
        <f t="shared" si="8"/>
        <v>4000</v>
      </c>
      <c r="I44" s="82">
        <f t="shared" si="0"/>
        <v>100.45203415369161</v>
      </c>
    </row>
    <row r="45" spans="1:9" ht="31.5" x14ac:dyDescent="0.25">
      <c r="A45" s="199" t="s">
        <v>109</v>
      </c>
      <c r="B45" s="200"/>
      <c r="C45" s="201"/>
      <c r="D45" s="66" t="s">
        <v>167</v>
      </c>
      <c r="E45" s="68"/>
      <c r="F45" s="49"/>
      <c r="G45" s="67">
        <v>2654</v>
      </c>
      <c r="H45" s="67">
        <v>2500</v>
      </c>
      <c r="I45" s="50">
        <f t="shared" si="0"/>
        <v>94.19743782969104</v>
      </c>
    </row>
    <row r="46" spans="1:9" ht="15.75" x14ac:dyDescent="0.25">
      <c r="A46" s="205" t="s">
        <v>144</v>
      </c>
      <c r="B46" s="206"/>
      <c r="C46" s="207"/>
      <c r="D46" s="83" t="s">
        <v>19</v>
      </c>
      <c r="E46" s="69"/>
      <c r="F46" s="70"/>
      <c r="G46" s="81">
        <v>2654</v>
      </c>
      <c r="H46" s="81">
        <f>SUM(H45)</f>
        <v>2500</v>
      </c>
      <c r="I46" s="82">
        <f t="shared" si="0"/>
        <v>94.19743782969104</v>
      </c>
    </row>
    <row r="47" spans="1:9" ht="15.75" x14ac:dyDescent="0.25">
      <c r="A47" s="193">
        <v>3</v>
      </c>
      <c r="B47" s="194"/>
      <c r="C47" s="195"/>
      <c r="D47" s="83" t="s">
        <v>98</v>
      </c>
      <c r="E47" s="69"/>
      <c r="F47" s="70"/>
      <c r="G47" s="81">
        <v>2654</v>
      </c>
      <c r="H47" s="81">
        <f t="shared" ref="H47:H48" si="9">SUM(H46)</f>
        <v>2500</v>
      </c>
      <c r="I47" s="82">
        <f t="shared" si="0"/>
        <v>94.19743782969104</v>
      </c>
    </row>
    <row r="48" spans="1:9" ht="15.75" x14ac:dyDescent="0.25">
      <c r="A48" s="196">
        <v>32</v>
      </c>
      <c r="B48" s="197"/>
      <c r="C48" s="198"/>
      <c r="D48" s="83" t="s">
        <v>106</v>
      </c>
      <c r="E48" s="69"/>
      <c r="F48" s="70"/>
      <c r="G48" s="81">
        <v>2654</v>
      </c>
      <c r="H48" s="81">
        <f t="shared" si="9"/>
        <v>2500</v>
      </c>
      <c r="I48" s="82">
        <f t="shared" si="0"/>
        <v>94.19743782969104</v>
      </c>
    </row>
    <row r="49" spans="1:9" ht="47.25" x14ac:dyDescent="0.25">
      <c r="A49" s="199" t="s">
        <v>169</v>
      </c>
      <c r="B49" s="200"/>
      <c r="C49" s="201"/>
      <c r="D49" s="66" t="s">
        <v>168</v>
      </c>
      <c r="E49" s="68"/>
      <c r="F49" s="49"/>
      <c r="G49" s="67">
        <v>1991</v>
      </c>
      <c r="H49" s="67">
        <v>2500</v>
      </c>
      <c r="I49" s="50">
        <f t="shared" si="0"/>
        <v>125.56504269211453</v>
      </c>
    </row>
    <row r="50" spans="1:9" ht="15.75" x14ac:dyDescent="0.25">
      <c r="A50" s="205" t="s">
        <v>144</v>
      </c>
      <c r="B50" s="206"/>
      <c r="C50" s="207"/>
      <c r="D50" s="83" t="s">
        <v>19</v>
      </c>
      <c r="E50" s="69"/>
      <c r="F50" s="70"/>
      <c r="G50" s="81">
        <v>1991</v>
      </c>
      <c r="H50" s="81">
        <f>SUM(H49)</f>
        <v>2500</v>
      </c>
      <c r="I50" s="82">
        <f t="shared" si="0"/>
        <v>125.56504269211453</v>
      </c>
    </row>
    <row r="51" spans="1:9" ht="15.75" x14ac:dyDescent="0.25">
      <c r="A51" s="193">
        <v>3</v>
      </c>
      <c r="B51" s="194"/>
      <c r="C51" s="195"/>
      <c r="D51" s="83" t="s">
        <v>98</v>
      </c>
      <c r="E51" s="69"/>
      <c r="F51" s="70"/>
      <c r="G51" s="81">
        <v>1991</v>
      </c>
      <c r="H51" s="81">
        <f t="shared" ref="H51:H52" si="10">SUM(H50)</f>
        <v>2500</v>
      </c>
      <c r="I51" s="82">
        <f t="shared" si="0"/>
        <v>125.56504269211453</v>
      </c>
    </row>
    <row r="52" spans="1:9" ht="15.75" x14ac:dyDescent="0.25">
      <c r="A52" s="196">
        <v>32</v>
      </c>
      <c r="B52" s="197"/>
      <c r="C52" s="198"/>
      <c r="D52" s="83" t="s">
        <v>106</v>
      </c>
      <c r="E52" s="69"/>
      <c r="F52" s="70"/>
      <c r="G52" s="81">
        <v>1991</v>
      </c>
      <c r="H52" s="81">
        <f t="shared" si="10"/>
        <v>2500</v>
      </c>
      <c r="I52" s="82">
        <f t="shared" si="0"/>
        <v>125.56504269211453</v>
      </c>
    </row>
    <row r="53" spans="1:9" ht="15.75" x14ac:dyDescent="0.25">
      <c r="A53" s="202" t="s">
        <v>110</v>
      </c>
      <c r="B53" s="203"/>
      <c r="C53" s="204"/>
      <c r="D53" s="64" t="s">
        <v>111</v>
      </c>
      <c r="E53" s="71"/>
      <c r="F53" s="46"/>
      <c r="G53" s="65">
        <f>SUM(G54,G58,G62,G69,G73,G77,G81,G85,G89,G93,G97,G101,G105,G109)</f>
        <v>46321</v>
      </c>
      <c r="H53" s="65">
        <f>SUM(H54,H58,H62,H69,H73,H77,H81,H85,H89,H93,H97,H101,H105,H109)</f>
        <v>63230</v>
      </c>
      <c r="I53" s="47">
        <f t="shared" si="0"/>
        <v>136.50396148615098</v>
      </c>
    </row>
    <row r="54" spans="1:9" ht="31.5" x14ac:dyDescent="0.25">
      <c r="A54" s="199" t="s">
        <v>112</v>
      </c>
      <c r="B54" s="200"/>
      <c r="C54" s="201"/>
      <c r="D54" s="66" t="s">
        <v>170</v>
      </c>
      <c r="E54" s="68"/>
      <c r="F54" s="49"/>
      <c r="G54" s="67">
        <v>3318</v>
      </c>
      <c r="H54" s="67">
        <v>3500</v>
      </c>
      <c r="I54" s="50">
        <f t="shared" si="0"/>
        <v>105.48523206751055</v>
      </c>
    </row>
    <row r="55" spans="1:9" ht="15.75" x14ac:dyDescent="0.25">
      <c r="A55" s="205" t="s">
        <v>144</v>
      </c>
      <c r="B55" s="206"/>
      <c r="C55" s="207"/>
      <c r="D55" s="80" t="s">
        <v>19</v>
      </c>
      <c r="E55" s="69"/>
      <c r="F55" s="70"/>
      <c r="G55" s="81">
        <v>3318</v>
      </c>
      <c r="H55" s="81">
        <f>SUM(H54)</f>
        <v>3500</v>
      </c>
      <c r="I55" s="82">
        <f t="shared" si="0"/>
        <v>105.48523206751055</v>
      </c>
    </row>
    <row r="56" spans="1:9" ht="15.75" x14ac:dyDescent="0.25">
      <c r="A56" s="193">
        <v>3</v>
      </c>
      <c r="B56" s="194"/>
      <c r="C56" s="195"/>
      <c r="D56" s="83" t="s">
        <v>98</v>
      </c>
      <c r="E56" s="69"/>
      <c r="F56" s="70"/>
      <c r="G56" s="81">
        <v>3318</v>
      </c>
      <c r="H56" s="81">
        <f t="shared" ref="H56:H57" si="11">SUM(H55)</f>
        <v>3500</v>
      </c>
      <c r="I56" s="82">
        <f t="shared" si="0"/>
        <v>105.48523206751055</v>
      </c>
    </row>
    <row r="57" spans="1:9" ht="15.75" x14ac:dyDescent="0.25">
      <c r="A57" s="196">
        <v>32</v>
      </c>
      <c r="B57" s="197"/>
      <c r="C57" s="198"/>
      <c r="D57" s="83" t="s">
        <v>106</v>
      </c>
      <c r="E57" s="69"/>
      <c r="F57" s="70"/>
      <c r="G57" s="81">
        <v>3318</v>
      </c>
      <c r="H57" s="81">
        <f t="shared" si="11"/>
        <v>3500</v>
      </c>
      <c r="I57" s="82">
        <f t="shared" si="0"/>
        <v>105.48523206751055</v>
      </c>
    </row>
    <row r="58" spans="1:9" ht="15.75" x14ac:dyDescent="0.25">
      <c r="A58" s="199" t="s">
        <v>113</v>
      </c>
      <c r="B58" s="200"/>
      <c r="C58" s="201"/>
      <c r="D58" s="66" t="s">
        <v>114</v>
      </c>
      <c r="E58" s="68"/>
      <c r="F58" s="49"/>
      <c r="G58" s="67">
        <v>265</v>
      </c>
      <c r="H58" s="67">
        <v>130</v>
      </c>
      <c r="I58" s="50">
        <f t="shared" si="0"/>
        <v>49.056603773584904</v>
      </c>
    </row>
    <row r="59" spans="1:9" ht="15.75" x14ac:dyDescent="0.25">
      <c r="A59" s="205" t="s">
        <v>144</v>
      </c>
      <c r="B59" s="206"/>
      <c r="C59" s="207"/>
      <c r="D59" s="80" t="s">
        <v>19</v>
      </c>
      <c r="E59" s="69"/>
      <c r="F59" s="70"/>
      <c r="G59" s="81">
        <v>265</v>
      </c>
      <c r="H59" s="81">
        <f>SUM(H58)</f>
        <v>130</v>
      </c>
      <c r="I59" s="82">
        <f t="shared" si="0"/>
        <v>49.056603773584904</v>
      </c>
    </row>
    <row r="60" spans="1:9" ht="15.75" x14ac:dyDescent="0.25">
      <c r="A60" s="193">
        <v>3</v>
      </c>
      <c r="B60" s="194"/>
      <c r="C60" s="195"/>
      <c r="D60" s="83" t="s">
        <v>98</v>
      </c>
      <c r="E60" s="69"/>
      <c r="F60" s="70"/>
      <c r="G60" s="81">
        <v>265</v>
      </c>
      <c r="H60" s="81">
        <f t="shared" ref="H60:H61" si="12">SUM(H59)</f>
        <v>130</v>
      </c>
      <c r="I60" s="82">
        <f t="shared" si="0"/>
        <v>49.056603773584904</v>
      </c>
    </row>
    <row r="61" spans="1:9" ht="15.75" x14ac:dyDescent="0.25">
      <c r="A61" s="196">
        <v>32</v>
      </c>
      <c r="B61" s="197"/>
      <c r="C61" s="198"/>
      <c r="D61" s="83" t="s">
        <v>106</v>
      </c>
      <c r="E61" s="69"/>
      <c r="F61" s="70"/>
      <c r="G61" s="81">
        <v>265</v>
      </c>
      <c r="H61" s="81">
        <f t="shared" si="12"/>
        <v>130</v>
      </c>
      <c r="I61" s="82">
        <f t="shared" si="0"/>
        <v>49.056603773584904</v>
      </c>
    </row>
    <row r="62" spans="1:9" ht="31.5" x14ac:dyDescent="0.25">
      <c r="A62" s="199" t="s">
        <v>115</v>
      </c>
      <c r="B62" s="200"/>
      <c r="C62" s="201"/>
      <c r="D62" s="66" t="s">
        <v>171</v>
      </c>
      <c r="E62" s="68"/>
      <c r="F62" s="49"/>
      <c r="G62" s="67">
        <v>7963</v>
      </c>
      <c r="H62" s="67">
        <v>6000</v>
      </c>
      <c r="I62" s="50">
        <f t="shared" si="0"/>
        <v>75.348486751224414</v>
      </c>
    </row>
    <row r="63" spans="1:9" ht="15.75" x14ac:dyDescent="0.25">
      <c r="A63" s="205" t="s">
        <v>144</v>
      </c>
      <c r="B63" s="206"/>
      <c r="C63" s="207"/>
      <c r="D63" s="80" t="s">
        <v>19</v>
      </c>
      <c r="E63" s="69"/>
      <c r="F63" s="70"/>
      <c r="G63" s="81">
        <v>4378.6000000000004</v>
      </c>
      <c r="H63" s="81">
        <f>SUM(H62)</f>
        <v>6000</v>
      </c>
      <c r="I63" s="82">
        <f t="shared" si="0"/>
        <v>137.03010094550768</v>
      </c>
    </row>
    <row r="64" spans="1:9" ht="15.75" x14ac:dyDescent="0.25">
      <c r="A64" s="193">
        <v>3</v>
      </c>
      <c r="B64" s="194"/>
      <c r="C64" s="195"/>
      <c r="D64" s="83" t="s">
        <v>98</v>
      </c>
      <c r="E64" s="69"/>
      <c r="F64" s="70"/>
      <c r="G64" s="81">
        <v>4378.6000000000004</v>
      </c>
      <c r="H64" s="81">
        <f t="shared" ref="H64:H65" si="13">SUM(H63)</f>
        <v>6000</v>
      </c>
      <c r="I64" s="82">
        <f t="shared" si="0"/>
        <v>137.03010094550768</v>
      </c>
    </row>
    <row r="65" spans="1:9" ht="15.75" x14ac:dyDescent="0.25">
      <c r="A65" s="196">
        <v>32</v>
      </c>
      <c r="B65" s="197"/>
      <c r="C65" s="198"/>
      <c r="D65" s="83" t="s">
        <v>106</v>
      </c>
      <c r="E65" s="69"/>
      <c r="F65" s="70"/>
      <c r="G65" s="81">
        <v>4378.6000000000004</v>
      </c>
      <c r="H65" s="81">
        <f t="shared" si="13"/>
        <v>6000</v>
      </c>
      <c r="I65" s="82">
        <f t="shared" si="0"/>
        <v>137.03010094550768</v>
      </c>
    </row>
    <row r="66" spans="1:9" ht="15.75" x14ac:dyDescent="0.25">
      <c r="A66" s="205" t="s">
        <v>149</v>
      </c>
      <c r="B66" s="206"/>
      <c r="C66" s="207"/>
      <c r="D66" s="80" t="s">
        <v>157</v>
      </c>
      <c r="E66" s="69"/>
      <c r="F66" s="70"/>
      <c r="G66" s="81">
        <f>G62-G63</f>
        <v>3584.3999999999996</v>
      </c>
      <c r="H66" s="81">
        <v>0</v>
      </c>
      <c r="I66" s="82">
        <f t="shared" si="0"/>
        <v>0</v>
      </c>
    </row>
    <row r="67" spans="1:9" ht="15.75" x14ac:dyDescent="0.25">
      <c r="A67" s="193">
        <v>3</v>
      </c>
      <c r="B67" s="194"/>
      <c r="C67" s="195"/>
      <c r="D67" s="83" t="s">
        <v>98</v>
      </c>
      <c r="E67" s="69"/>
      <c r="F67" s="70"/>
      <c r="G67" s="81">
        <v>3584</v>
      </c>
      <c r="H67" s="81">
        <v>0</v>
      </c>
      <c r="I67" s="82">
        <f t="shared" si="0"/>
        <v>0</v>
      </c>
    </row>
    <row r="68" spans="1:9" ht="15.75" x14ac:dyDescent="0.25">
      <c r="A68" s="196">
        <v>32</v>
      </c>
      <c r="B68" s="197"/>
      <c r="C68" s="198"/>
      <c r="D68" s="83" t="s">
        <v>106</v>
      </c>
      <c r="E68" s="69"/>
      <c r="F68" s="70"/>
      <c r="G68" s="81">
        <v>3584</v>
      </c>
      <c r="H68" s="81">
        <v>0</v>
      </c>
      <c r="I68" s="82">
        <f t="shared" si="0"/>
        <v>0</v>
      </c>
    </row>
    <row r="69" spans="1:9" ht="15.75" x14ac:dyDescent="0.25">
      <c r="A69" s="199" t="s">
        <v>116</v>
      </c>
      <c r="B69" s="200"/>
      <c r="C69" s="201"/>
      <c r="D69" s="66" t="s">
        <v>119</v>
      </c>
      <c r="E69" s="68"/>
      <c r="F69" s="49"/>
      <c r="G69" s="67">
        <v>1327</v>
      </c>
      <c r="H69" s="67">
        <v>500</v>
      </c>
      <c r="I69" s="50">
        <f t="shared" si="0"/>
        <v>37.678975131876413</v>
      </c>
    </row>
    <row r="70" spans="1:9" ht="15.75" x14ac:dyDescent="0.25">
      <c r="A70" s="205" t="s">
        <v>144</v>
      </c>
      <c r="B70" s="206"/>
      <c r="C70" s="207"/>
      <c r="D70" s="80" t="s">
        <v>19</v>
      </c>
      <c r="E70" s="69"/>
      <c r="F70" s="70"/>
      <c r="G70" s="81">
        <v>1327</v>
      </c>
      <c r="H70" s="81">
        <f>SUM(H69)</f>
        <v>500</v>
      </c>
      <c r="I70" s="82">
        <f t="shared" si="0"/>
        <v>37.678975131876413</v>
      </c>
    </row>
    <row r="71" spans="1:9" ht="15.75" x14ac:dyDescent="0.25">
      <c r="A71" s="193">
        <v>3</v>
      </c>
      <c r="B71" s="194"/>
      <c r="C71" s="195"/>
      <c r="D71" s="83" t="s">
        <v>98</v>
      </c>
      <c r="E71" s="69"/>
      <c r="F71" s="70"/>
      <c r="G71" s="81">
        <v>1327</v>
      </c>
      <c r="H71" s="81">
        <f t="shared" ref="H71:H72" si="14">SUM(H70)</f>
        <v>500</v>
      </c>
      <c r="I71" s="82">
        <f t="shared" si="0"/>
        <v>37.678975131876413</v>
      </c>
    </row>
    <row r="72" spans="1:9" ht="15.75" x14ac:dyDescent="0.25">
      <c r="A72" s="196">
        <v>32</v>
      </c>
      <c r="B72" s="197"/>
      <c r="C72" s="198"/>
      <c r="D72" s="83" t="s">
        <v>106</v>
      </c>
      <c r="E72" s="69"/>
      <c r="F72" s="70"/>
      <c r="G72" s="81">
        <v>1327</v>
      </c>
      <c r="H72" s="81">
        <f t="shared" si="14"/>
        <v>500</v>
      </c>
      <c r="I72" s="82">
        <f t="shared" ref="I72:I135" si="15">H72/G72*$I$2</f>
        <v>37.678975131876413</v>
      </c>
    </row>
    <row r="73" spans="1:9" ht="31.5" x14ac:dyDescent="0.25">
      <c r="A73" s="199" t="s">
        <v>117</v>
      </c>
      <c r="B73" s="200"/>
      <c r="C73" s="201"/>
      <c r="D73" s="66" t="s">
        <v>172</v>
      </c>
      <c r="E73" s="68"/>
      <c r="F73" s="49"/>
      <c r="G73" s="67">
        <v>1991</v>
      </c>
      <c r="H73" s="67">
        <v>2000</v>
      </c>
      <c r="I73" s="50">
        <f t="shared" si="15"/>
        <v>100.45203415369161</v>
      </c>
    </row>
    <row r="74" spans="1:9" ht="15.75" x14ac:dyDescent="0.25">
      <c r="A74" s="205" t="s">
        <v>144</v>
      </c>
      <c r="B74" s="206"/>
      <c r="C74" s="207"/>
      <c r="D74" s="80" t="s">
        <v>19</v>
      </c>
      <c r="E74" s="69"/>
      <c r="F74" s="70"/>
      <c r="G74" s="81">
        <v>1991</v>
      </c>
      <c r="H74" s="81">
        <f>SUM(H73)</f>
        <v>2000</v>
      </c>
      <c r="I74" s="82">
        <f t="shared" si="15"/>
        <v>100.45203415369161</v>
      </c>
    </row>
    <row r="75" spans="1:9" ht="15.75" x14ac:dyDescent="0.25">
      <c r="A75" s="193">
        <v>3</v>
      </c>
      <c r="B75" s="194"/>
      <c r="C75" s="195"/>
      <c r="D75" s="83" t="s">
        <v>98</v>
      </c>
      <c r="E75" s="69"/>
      <c r="F75" s="70"/>
      <c r="G75" s="81">
        <v>1991</v>
      </c>
      <c r="H75" s="81">
        <f t="shared" ref="H75:H76" si="16">SUM(H74)</f>
        <v>2000</v>
      </c>
      <c r="I75" s="82">
        <f t="shared" si="15"/>
        <v>100.45203415369161</v>
      </c>
    </row>
    <row r="76" spans="1:9" ht="15.75" x14ac:dyDescent="0.25">
      <c r="A76" s="196">
        <v>32</v>
      </c>
      <c r="B76" s="197"/>
      <c r="C76" s="198"/>
      <c r="D76" s="83" t="s">
        <v>106</v>
      </c>
      <c r="E76" s="69"/>
      <c r="F76" s="70"/>
      <c r="G76" s="81">
        <v>1991</v>
      </c>
      <c r="H76" s="81">
        <f t="shared" si="16"/>
        <v>2000</v>
      </c>
      <c r="I76" s="82">
        <f t="shared" si="15"/>
        <v>100.45203415369161</v>
      </c>
    </row>
    <row r="77" spans="1:9" ht="31.5" x14ac:dyDescent="0.25">
      <c r="A77" s="199" t="s">
        <v>118</v>
      </c>
      <c r="B77" s="200"/>
      <c r="C77" s="201"/>
      <c r="D77" s="66" t="s">
        <v>126</v>
      </c>
      <c r="E77" s="68"/>
      <c r="F77" s="49"/>
      <c r="G77" s="67">
        <v>5043</v>
      </c>
      <c r="H77" s="67">
        <v>11000</v>
      </c>
      <c r="I77" s="50">
        <f t="shared" si="15"/>
        <v>218.12413246083682</v>
      </c>
    </row>
    <row r="78" spans="1:9" ht="15.75" x14ac:dyDescent="0.25">
      <c r="A78" s="205" t="s">
        <v>144</v>
      </c>
      <c r="B78" s="206"/>
      <c r="C78" s="207"/>
      <c r="D78" s="80" t="s">
        <v>19</v>
      </c>
      <c r="E78" s="69"/>
      <c r="F78" s="70"/>
      <c r="G78" s="81">
        <v>5043</v>
      </c>
      <c r="H78" s="81">
        <f>SUM(H77)</f>
        <v>11000</v>
      </c>
      <c r="I78" s="82">
        <f t="shared" si="15"/>
        <v>218.12413246083682</v>
      </c>
    </row>
    <row r="79" spans="1:9" ht="15.75" x14ac:dyDescent="0.25">
      <c r="A79" s="193">
        <v>3</v>
      </c>
      <c r="B79" s="194"/>
      <c r="C79" s="195"/>
      <c r="D79" s="83" t="s">
        <v>98</v>
      </c>
      <c r="E79" s="69"/>
      <c r="F79" s="70"/>
      <c r="G79" s="81">
        <v>5043</v>
      </c>
      <c r="H79" s="81">
        <f t="shared" ref="H79:H80" si="17">SUM(H78)</f>
        <v>11000</v>
      </c>
      <c r="I79" s="82">
        <f t="shared" si="15"/>
        <v>218.12413246083682</v>
      </c>
    </row>
    <row r="80" spans="1:9" ht="15.75" x14ac:dyDescent="0.25">
      <c r="A80" s="196">
        <v>32</v>
      </c>
      <c r="B80" s="197"/>
      <c r="C80" s="198"/>
      <c r="D80" s="83" t="s">
        <v>106</v>
      </c>
      <c r="E80" s="69"/>
      <c r="F80" s="70"/>
      <c r="G80" s="81">
        <v>5043</v>
      </c>
      <c r="H80" s="81">
        <f t="shared" si="17"/>
        <v>11000</v>
      </c>
      <c r="I80" s="82">
        <f t="shared" si="15"/>
        <v>218.12413246083682</v>
      </c>
    </row>
    <row r="81" spans="1:9" ht="47.25" x14ac:dyDescent="0.25">
      <c r="A81" s="199" t="s">
        <v>120</v>
      </c>
      <c r="B81" s="200"/>
      <c r="C81" s="201"/>
      <c r="D81" s="66" t="s">
        <v>173</v>
      </c>
      <c r="E81" s="68"/>
      <c r="F81" s="49"/>
      <c r="G81" s="67">
        <v>1725</v>
      </c>
      <c r="H81" s="67">
        <v>5000</v>
      </c>
      <c r="I81" s="50">
        <f t="shared" si="15"/>
        <v>289.85507246376812</v>
      </c>
    </row>
    <row r="82" spans="1:9" ht="15.75" x14ac:dyDescent="0.25">
      <c r="A82" s="205" t="s">
        <v>144</v>
      </c>
      <c r="B82" s="206"/>
      <c r="C82" s="207"/>
      <c r="D82" s="80" t="s">
        <v>19</v>
      </c>
      <c r="E82" s="69"/>
      <c r="F82" s="70"/>
      <c r="G82" s="81">
        <v>1725</v>
      </c>
      <c r="H82" s="81">
        <f>SUM(H81)</f>
        <v>5000</v>
      </c>
      <c r="I82" s="82">
        <f t="shared" si="15"/>
        <v>289.85507246376812</v>
      </c>
    </row>
    <row r="83" spans="1:9" ht="15.75" x14ac:dyDescent="0.25">
      <c r="A83" s="193">
        <v>3</v>
      </c>
      <c r="B83" s="194"/>
      <c r="C83" s="195"/>
      <c r="D83" s="83" t="s">
        <v>98</v>
      </c>
      <c r="E83" s="69"/>
      <c r="F83" s="70"/>
      <c r="G83" s="81">
        <v>1725</v>
      </c>
      <c r="H83" s="81">
        <f t="shared" ref="H83:H84" si="18">SUM(H82)</f>
        <v>5000</v>
      </c>
      <c r="I83" s="82">
        <f t="shared" si="15"/>
        <v>289.85507246376812</v>
      </c>
    </row>
    <row r="84" spans="1:9" ht="15.75" x14ac:dyDescent="0.25">
      <c r="A84" s="196">
        <v>32</v>
      </c>
      <c r="B84" s="197"/>
      <c r="C84" s="198"/>
      <c r="D84" s="83" t="s">
        <v>106</v>
      </c>
      <c r="E84" s="69"/>
      <c r="F84" s="70"/>
      <c r="G84" s="81">
        <v>1725</v>
      </c>
      <c r="H84" s="81">
        <f t="shared" si="18"/>
        <v>5000</v>
      </c>
      <c r="I84" s="82">
        <f t="shared" si="15"/>
        <v>289.85507246376812</v>
      </c>
    </row>
    <row r="85" spans="1:9" ht="31.5" x14ac:dyDescent="0.25">
      <c r="A85" s="199" t="s">
        <v>121</v>
      </c>
      <c r="B85" s="200"/>
      <c r="C85" s="201"/>
      <c r="D85" s="66" t="s">
        <v>174</v>
      </c>
      <c r="E85" s="68"/>
      <c r="F85" s="49"/>
      <c r="G85" s="67">
        <v>1327</v>
      </c>
      <c r="H85" s="67">
        <v>2000</v>
      </c>
      <c r="I85" s="50">
        <f t="shared" si="15"/>
        <v>150.71590052750565</v>
      </c>
    </row>
    <row r="86" spans="1:9" ht="15.75" x14ac:dyDescent="0.25">
      <c r="A86" s="205" t="s">
        <v>144</v>
      </c>
      <c r="B86" s="206"/>
      <c r="C86" s="207"/>
      <c r="D86" s="80" t="s">
        <v>19</v>
      </c>
      <c r="E86" s="69"/>
      <c r="F86" s="70"/>
      <c r="G86" s="81">
        <v>1327</v>
      </c>
      <c r="H86" s="81">
        <f>SUM(H85)</f>
        <v>2000</v>
      </c>
      <c r="I86" s="82">
        <f t="shared" si="15"/>
        <v>150.71590052750565</v>
      </c>
    </row>
    <row r="87" spans="1:9" ht="15.75" x14ac:dyDescent="0.25">
      <c r="A87" s="193">
        <v>3</v>
      </c>
      <c r="B87" s="194"/>
      <c r="C87" s="195"/>
      <c r="D87" s="83" t="s">
        <v>98</v>
      </c>
      <c r="E87" s="69"/>
      <c r="F87" s="70"/>
      <c r="G87" s="81">
        <v>1327</v>
      </c>
      <c r="H87" s="81">
        <f t="shared" ref="H87:H88" si="19">SUM(H86)</f>
        <v>2000</v>
      </c>
      <c r="I87" s="82">
        <f t="shared" si="15"/>
        <v>150.71590052750565</v>
      </c>
    </row>
    <row r="88" spans="1:9" ht="15.75" x14ac:dyDescent="0.25">
      <c r="A88" s="196">
        <v>32</v>
      </c>
      <c r="B88" s="197"/>
      <c r="C88" s="198"/>
      <c r="D88" s="83" t="s">
        <v>106</v>
      </c>
      <c r="E88" s="69"/>
      <c r="F88" s="70"/>
      <c r="G88" s="81">
        <v>1327</v>
      </c>
      <c r="H88" s="81">
        <f t="shared" si="19"/>
        <v>2000</v>
      </c>
      <c r="I88" s="82">
        <f t="shared" si="15"/>
        <v>150.71590052750565</v>
      </c>
    </row>
    <row r="89" spans="1:9" ht="31.5" x14ac:dyDescent="0.25">
      <c r="A89" s="199" t="s">
        <v>122</v>
      </c>
      <c r="B89" s="200"/>
      <c r="C89" s="201"/>
      <c r="D89" s="66" t="s">
        <v>175</v>
      </c>
      <c r="E89" s="68"/>
      <c r="F89" s="49"/>
      <c r="G89" s="67">
        <v>2654</v>
      </c>
      <c r="H89" s="67">
        <v>10000</v>
      </c>
      <c r="I89" s="50">
        <f t="shared" si="15"/>
        <v>376.78975131876416</v>
      </c>
    </row>
    <row r="90" spans="1:9" ht="15.75" x14ac:dyDescent="0.25">
      <c r="A90" s="205" t="s">
        <v>144</v>
      </c>
      <c r="B90" s="206"/>
      <c r="C90" s="207"/>
      <c r="D90" s="80" t="s">
        <v>19</v>
      </c>
      <c r="E90" s="69"/>
      <c r="F90" s="70"/>
      <c r="G90" s="81">
        <v>2654</v>
      </c>
      <c r="H90" s="81">
        <f>SUM(H89)</f>
        <v>10000</v>
      </c>
      <c r="I90" s="82">
        <f t="shared" si="15"/>
        <v>376.78975131876416</v>
      </c>
    </row>
    <row r="91" spans="1:9" ht="15.75" x14ac:dyDescent="0.25">
      <c r="A91" s="193">
        <v>3</v>
      </c>
      <c r="B91" s="194"/>
      <c r="C91" s="195"/>
      <c r="D91" s="83" t="s">
        <v>98</v>
      </c>
      <c r="E91" s="69"/>
      <c r="F91" s="70"/>
      <c r="G91" s="81">
        <v>2654</v>
      </c>
      <c r="H91" s="81">
        <f t="shared" ref="H91:H92" si="20">SUM(H90)</f>
        <v>10000</v>
      </c>
      <c r="I91" s="82">
        <f t="shared" si="15"/>
        <v>376.78975131876416</v>
      </c>
    </row>
    <row r="92" spans="1:9" ht="15.75" x14ac:dyDescent="0.25">
      <c r="A92" s="196">
        <v>32</v>
      </c>
      <c r="B92" s="197"/>
      <c r="C92" s="198"/>
      <c r="D92" s="83" t="s">
        <v>106</v>
      </c>
      <c r="E92" s="69"/>
      <c r="F92" s="70"/>
      <c r="G92" s="81">
        <v>2654</v>
      </c>
      <c r="H92" s="81">
        <f t="shared" si="20"/>
        <v>10000</v>
      </c>
      <c r="I92" s="82">
        <f t="shared" si="15"/>
        <v>376.78975131876416</v>
      </c>
    </row>
    <row r="93" spans="1:9" ht="15.75" x14ac:dyDescent="0.25">
      <c r="A93" s="199" t="s">
        <v>123</v>
      </c>
      <c r="B93" s="200"/>
      <c r="C93" s="201"/>
      <c r="D93" s="66" t="s">
        <v>176</v>
      </c>
      <c r="E93" s="68"/>
      <c r="F93" s="49"/>
      <c r="G93" s="67">
        <v>265</v>
      </c>
      <c r="H93" s="67">
        <v>100</v>
      </c>
      <c r="I93" s="50">
        <f t="shared" si="15"/>
        <v>37.735849056603776</v>
      </c>
    </row>
    <row r="94" spans="1:9" ht="15.75" x14ac:dyDescent="0.25">
      <c r="A94" s="205" t="s">
        <v>144</v>
      </c>
      <c r="B94" s="206"/>
      <c r="C94" s="207"/>
      <c r="D94" s="80" t="s">
        <v>19</v>
      </c>
      <c r="E94" s="69"/>
      <c r="F94" s="70"/>
      <c r="G94" s="81">
        <v>265</v>
      </c>
      <c r="H94" s="81">
        <f>H93</f>
        <v>100</v>
      </c>
      <c r="I94" s="82">
        <f t="shared" si="15"/>
        <v>37.735849056603776</v>
      </c>
    </row>
    <row r="95" spans="1:9" ht="15.75" x14ac:dyDescent="0.25">
      <c r="A95" s="193">
        <v>3</v>
      </c>
      <c r="B95" s="194"/>
      <c r="C95" s="195"/>
      <c r="D95" s="83" t="s">
        <v>98</v>
      </c>
      <c r="E95" s="69"/>
      <c r="F95" s="70"/>
      <c r="G95" s="81">
        <v>265</v>
      </c>
      <c r="H95" s="81">
        <f t="shared" ref="H95:H96" si="21">H94</f>
        <v>100</v>
      </c>
      <c r="I95" s="82">
        <f t="shared" si="15"/>
        <v>37.735849056603776</v>
      </c>
    </row>
    <row r="96" spans="1:9" ht="15.75" x14ac:dyDescent="0.25">
      <c r="A96" s="196">
        <v>32</v>
      </c>
      <c r="B96" s="197"/>
      <c r="C96" s="198"/>
      <c r="D96" s="83" t="s">
        <v>106</v>
      </c>
      <c r="E96" s="69"/>
      <c r="F96" s="70"/>
      <c r="G96" s="81">
        <v>265</v>
      </c>
      <c r="H96" s="81">
        <f t="shared" si="21"/>
        <v>100</v>
      </c>
      <c r="I96" s="82">
        <f t="shared" si="15"/>
        <v>37.735849056603776</v>
      </c>
    </row>
    <row r="97" spans="1:9" ht="15.75" x14ac:dyDescent="0.25">
      <c r="A97" s="199" t="s">
        <v>124</v>
      </c>
      <c r="B97" s="200"/>
      <c r="C97" s="201"/>
      <c r="D97" s="66" t="s">
        <v>177</v>
      </c>
      <c r="E97" s="68"/>
      <c r="F97" s="49"/>
      <c r="G97" s="67">
        <v>1327</v>
      </c>
      <c r="H97" s="67">
        <v>2000</v>
      </c>
      <c r="I97" s="50">
        <f t="shared" si="15"/>
        <v>150.71590052750565</v>
      </c>
    </row>
    <row r="98" spans="1:9" ht="15.75" x14ac:dyDescent="0.25">
      <c r="A98" s="205" t="s">
        <v>144</v>
      </c>
      <c r="B98" s="206"/>
      <c r="C98" s="207"/>
      <c r="D98" s="80" t="s">
        <v>19</v>
      </c>
      <c r="E98" s="69"/>
      <c r="F98" s="70"/>
      <c r="G98" s="81">
        <v>1327</v>
      </c>
      <c r="H98" s="81">
        <f>SUM(H97)</f>
        <v>2000</v>
      </c>
      <c r="I98" s="82">
        <f t="shared" si="15"/>
        <v>150.71590052750565</v>
      </c>
    </row>
    <row r="99" spans="1:9" ht="15.75" x14ac:dyDescent="0.25">
      <c r="A99" s="193">
        <v>3</v>
      </c>
      <c r="B99" s="194"/>
      <c r="C99" s="195"/>
      <c r="D99" s="83" t="s">
        <v>98</v>
      </c>
      <c r="E99" s="69"/>
      <c r="F99" s="70"/>
      <c r="G99" s="81">
        <v>1327</v>
      </c>
      <c r="H99" s="81">
        <f t="shared" ref="H99:H100" si="22">SUM(H98)</f>
        <v>2000</v>
      </c>
      <c r="I99" s="82">
        <f t="shared" si="15"/>
        <v>150.71590052750565</v>
      </c>
    </row>
    <row r="100" spans="1:9" ht="15.75" x14ac:dyDescent="0.25">
      <c r="A100" s="196">
        <v>32</v>
      </c>
      <c r="B100" s="197"/>
      <c r="C100" s="198"/>
      <c r="D100" s="83" t="s">
        <v>106</v>
      </c>
      <c r="E100" s="69"/>
      <c r="F100" s="70"/>
      <c r="G100" s="81">
        <v>1327</v>
      </c>
      <c r="H100" s="81">
        <f t="shared" si="22"/>
        <v>2000</v>
      </c>
      <c r="I100" s="82">
        <f t="shared" si="15"/>
        <v>150.71590052750565</v>
      </c>
    </row>
    <row r="101" spans="1:9" ht="15.75" x14ac:dyDescent="0.25">
      <c r="A101" s="199" t="s">
        <v>125</v>
      </c>
      <c r="B101" s="200"/>
      <c r="C101" s="201"/>
      <c r="D101" s="66" t="s">
        <v>178</v>
      </c>
      <c r="E101" s="68"/>
      <c r="F101" s="49"/>
      <c r="G101" s="67">
        <v>1327</v>
      </c>
      <c r="H101" s="67">
        <v>1500</v>
      </c>
      <c r="I101" s="50">
        <f t="shared" si="15"/>
        <v>113.03692539562924</v>
      </c>
    </row>
    <row r="102" spans="1:9" ht="15.75" x14ac:dyDescent="0.25">
      <c r="A102" s="205" t="s">
        <v>144</v>
      </c>
      <c r="B102" s="206"/>
      <c r="C102" s="207"/>
      <c r="D102" s="80" t="s">
        <v>19</v>
      </c>
      <c r="E102" s="69"/>
      <c r="F102" s="70"/>
      <c r="G102" s="81">
        <v>1327</v>
      </c>
      <c r="H102" s="81">
        <f>SUM(H101)</f>
        <v>1500</v>
      </c>
      <c r="I102" s="82">
        <f t="shared" si="15"/>
        <v>113.03692539562924</v>
      </c>
    </row>
    <row r="103" spans="1:9" ht="15.75" x14ac:dyDescent="0.25">
      <c r="A103" s="193">
        <v>3</v>
      </c>
      <c r="B103" s="194"/>
      <c r="C103" s="195"/>
      <c r="D103" s="83" t="s">
        <v>98</v>
      </c>
      <c r="E103" s="69"/>
      <c r="F103" s="70"/>
      <c r="G103" s="81">
        <v>1327</v>
      </c>
      <c r="H103" s="81">
        <f t="shared" ref="H103:H104" si="23">SUM(H102)</f>
        <v>1500</v>
      </c>
      <c r="I103" s="82">
        <f t="shared" si="15"/>
        <v>113.03692539562924</v>
      </c>
    </row>
    <row r="104" spans="1:9" ht="15.75" x14ac:dyDescent="0.25">
      <c r="A104" s="196">
        <v>32</v>
      </c>
      <c r="B104" s="197"/>
      <c r="C104" s="198"/>
      <c r="D104" s="83" t="s">
        <v>106</v>
      </c>
      <c r="E104" s="69"/>
      <c r="F104" s="70"/>
      <c r="G104" s="81">
        <v>1327</v>
      </c>
      <c r="H104" s="81">
        <f t="shared" si="23"/>
        <v>1500</v>
      </c>
      <c r="I104" s="82">
        <f t="shared" si="15"/>
        <v>113.03692539562924</v>
      </c>
    </row>
    <row r="105" spans="1:9" ht="31.5" x14ac:dyDescent="0.25">
      <c r="A105" s="199" t="s">
        <v>127</v>
      </c>
      <c r="B105" s="200"/>
      <c r="C105" s="201"/>
      <c r="D105" s="66" t="s">
        <v>179</v>
      </c>
      <c r="E105" s="68"/>
      <c r="F105" s="49"/>
      <c r="G105" s="67">
        <v>4645</v>
      </c>
      <c r="H105" s="67">
        <v>4500</v>
      </c>
      <c r="I105" s="50">
        <f t="shared" si="15"/>
        <v>96.878363832077511</v>
      </c>
    </row>
    <row r="106" spans="1:9" ht="15.75" x14ac:dyDescent="0.25">
      <c r="A106" s="205" t="s">
        <v>144</v>
      </c>
      <c r="B106" s="206"/>
      <c r="C106" s="207"/>
      <c r="D106" s="80" t="s">
        <v>19</v>
      </c>
      <c r="E106" s="69"/>
      <c r="F106" s="70"/>
      <c r="G106" s="81">
        <v>4645</v>
      </c>
      <c r="H106" s="81">
        <f>SUM(H105)</f>
        <v>4500</v>
      </c>
      <c r="I106" s="82">
        <f t="shared" si="15"/>
        <v>96.878363832077511</v>
      </c>
    </row>
    <row r="107" spans="1:9" ht="15.75" x14ac:dyDescent="0.25">
      <c r="A107" s="193">
        <v>3</v>
      </c>
      <c r="B107" s="194"/>
      <c r="C107" s="195"/>
      <c r="D107" s="83" t="s">
        <v>98</v>
      </c>
      <c r="E107" s="69"/>
      <c r="F107" s="70"/>
      <c r="G107" s="81">
        <v>4645</v>
      </c>
      <c r="H107" s="81">
        <f t="shared" ref="H107:H108" si="24">SUM(H106)</f>
        <v>4500</v>
      </c>
      <c r="I107" s="82">
        <f t="shared" si="15"/>
        <v>96.878363832077511</v>
      </c>
    </row>
    <row r="108" spans="1:9" ht="15.75" x14ac:dyDescent="0.25">
      <c r="A108" s="196">
        <v>32</v>
      </c>
      <c r="B108" s="197"/>
      <c r="C108" s="198"/>
      <c r="D108" s="83" t="s">
        <v>106</v>
      </c>
      <c r="E108" s="69"/>
      <c r="F108" s="70"/>
      <c r="G108" s="81">
        <v>4656</v>
      </c>
      <c r="H108" s="81">
        <f t="shared" si="24"/>
        <v>4500</v>
      </c>
      <c r="I108" s="82">
        <f t="shared" si="15"/>
        <v>96.649484536082468</v>
      </c>
    </row>
    <row r="109" spans="1:9" ht="31.5" x14ac:dyDescent="0.25">
      <c r="A109" s="199" t="s">
        <v>128</v>
      </c>
      <c r="B109" s="200"/>
      <c r="C109" s="201"/>
      <c r="D109" s="66" t="s">
        <v>180</v>
      </c>
      <c r="E109" s="68"/>
      <c r="F109" s="49"/>
      <c r="G109" s="67">
        <v>13144</v>
      </c>
      <c r="H109" s="67">
        <v>15000</v>
      </c>
      <c r="I109" s="50">
        <f t="shared" si="15"/>
        <v>114.12051125989045</v>
      </c>
    </row>
    <row r="110" spans="1:9" ht="15.75" x14ac:dyDescent="0.25">
      <c r="A110" s="205" t="s">
        <v>149</v>
      </c>
      <c r="B110" s="206"/>
      <c r="C110" s="207"/>
      <c r="D110" s="80" t="s">
        <v>211</v>
      </c>
      <c r="E110" s="69"/>
      <c r="F110" s="70"/>
      <c r="G110" s="81">
        <v>13144</v>
      </c>
      <c r="H110" s="81">
        <f>SUM(H109)</f>
        <v>15000</v>
      </c>
      <c r="I110" s="82">
        <f t="shared" si="15"/>
        <v>114.12051125989045</v>
      </c>
    </row>
    <row r="111" spans="1:9" ht="15.75" x14ac:dyDescent="0.25">
      <c r="A111" s="193">
        <v>3</v>
      </c>
      <c r="B111" s="194"/>
      <c r="C111" s="195"/>
      <c r="D111" s="83" t="s">
        <v>98</v>
      </c>
      <c r="E111" s="69"/>
      <c r="F111" s="70"/>
      <c r="G111" s="81">
        <v>13144</v>
      </c>
      <c r="H111" s="81">
        <f t="shared" ref="H111:H112" si="25">SUM(H110)</f>
        <v>15000</v>
      </c>
      <c r="I111" s="82">
        <f t="shared" si="15"/>
        <v>114.12051125989045</v>
      </c>
    </row>
    <row r="112" spans="1:9" ht="15.75" x14ac:dyDescent="0.25">
      <c r="A112" s="196">
        <v>32</v>
      </c>
      <c r="B112" s="197"/>
      <c r="C112" s="198"/>
      <c r="D112" s="83" t="s">
        <v>106</v>
      </c>
      <c r="E112" s="69"/>
      <c r="F112" s="70"/>
      <c r="G112" s="81">
        <v>13144</v>
      </c>
      <c r="H112" s="81">
        <f t="shared" si="25"/>
        <v>15000</v>
      </c>
      <c r="I112" s="82">
        <f t="shared" si="15"/>
        <v>114.12051125989045</v>
      </c>
    </row>
    <row r="113" spans="1:9" ht="31.5" x14ac:dyDescent="0.25">
      <c r="A113" s="202" t="s">
        <v>129</v>
      </c>
      <c r="B113" s="203"/>
      <c r="C113" s="204"/>
      <c r="D113" s="64" t="s">
        <v>181</v>
      </c>
      <c r="E113" s="71"/>
      <c r="F113" s="46"/>
      <c r="G113" s="65">
        <f>SUM(G114)</f>
        <v>18581</v>
      </c>
      <c r="H113" s="65">
        <f>SUM(H114)</f>
        <v>18500</v>
      </c>
      <c r="I113" s="47">
        <f t="shared" si="15"/>
        <v>99.564070825036339</v>
      </c>
    </row>
    <row r="114" spans="1:9" ht="78.75" x14ac:dyDescent="0.25">
      <c r="A114" s="199" t="s">
        <v>130</v>
      </c>
      <c r="B114" s="200"/>
      <c r="C114" s="201"/>
      <c r="D114" s="66" t="s">
        <v>182</v>
      </c>
      <c r="E114" s="68"/>
      <c r="F114" s="49"/>
      <c r="G114" s="67">
        <v>18581</v>
      </c>
      <c r="H114" s="67">
        <v>18500</v>
      </c>
      <c r="I114" s="50">
        <f t="shared" si="15"/>
        <v>99.564070825036339</v>
      </c>
    </row>
    <row r="115" spans="1:9" ht="15.75" x14ac:dyDescent="0.25">
      <c r="A115" s="205" t="s">
        <v>144</v>
      </c>
      <c r="B115" s="206"/>
      <c r="C115" s="207"/>
      <c r="D115" s="80" t="s">
        <v>19</v>
      </c>
      <c r="E115" s="69"/>
      <c r="F115" s="70"/>
      <c r="G115" s="81">
        <v>18581</v>
      </c>
      <c r="H115" s="81">
        <f>SUM(H114)</f>
        <v>18500</v>
      </c>
      <c r="I115" s="82">
        <f t="shared" si="15"/>
        <v>99.564070825036339</v>
      </c>
    </row>
    <row r="116" spans="1:9" ht="15.75" x14ac:dyDescent="0.25">
      <c r="A116" s="193">
        <v>3</v>
      </c>
      <c r="B116" s="194"/>
      <c r="C116" s="195"/>
      <c r="D116" s="83" t="s">
        <v>98</v>
      </c>
      <c r="E116" s="69"/>
      <c r="F116" s="70"/>
      <c r="G116" s="81">
        <v>18581</v>
      </c>
      <c r="H116" s="81">
        <f t="shared" ref="H116:H117" si="26">SUM(H115)</f>
        <v>18500</v>
      </c>
      <c r="I116" s="82">
        <f t="shared" si="15"/>
        <v>99.564070825036339</v>
      </c>
    </row>
    <row r="117" spans="1:9" ht="15.75" x14ac:dyDescent="0.25">
      <c r="A117" s="196">
        <v>34</v>
      </c>
      <c r="B117" s="197"/>
      <c r="C117" s="198"/>
      <c r="D117" s="83" t="s">
        <v>78</v>
      </c>
      <c r="E117" s="69"/>
      <c r="F117" s="70"/>
      <c r="G117" s="81">
        <v>18581</v>
      </c>
      <c r="H117" s="81">
        <f t="shared" si="26"/>
        <v>18500</v>
      </c>
      <c r="I117" s="82">
        <f t="shared" si="15"/>
        <v>99.564070825036339</v>
      </c>
    </row>
    <row r="118" spans="1:9" ht="31.5" x14ac:dyDescent="0.25">
      <c r="A118" s="196"/>
      <c r="B118" s="197"/>
      <c r="C118" s="198"/>
      <c r="D118" s="83" t="s">
        <v>280</v>
      </c>
      <c r="E118" s="69"/>
      <c r="F118" s="70"/>
      <c r="G118" s="81">
        <v>2000</v>
      </c>
      <c r="H118" s="81">
        <v>2300</v>
      </c>
      <c r="I118" s="82">
        <f t="shared" si="15"/>
        <v>114.99999999999999</v>
      </c>
    </row>
    <row r="119" spans="1:9" ht="31.5" x14ac:dyDescent="0.25">
      <c r="A119" s="202" t="s">
        <v>131</v>
      </c>
      <c r="B119" s="203"/>
      <c r="C119" s="204"/>
      <c r="D119" s="64" t="s">
        <v>138</v>
      </c>
      <c r="E119" s="71"/>
      <c r="F119" s="46"/>
      <c r="G119" s="65">
        <f>SUM(G120,G124)</f>
        <v>9290</v>
      </c>
      <c r="H119" s="65">
        <f>SUM(H120,H124)</f>
        <v>8000</v>
      </c>
      <c r="I119" s="47">
        <f t="shared" si="15"/>
        <v>86.114101184068886</v>
      </c>
    </row>
    <row r="120" spans="1:9" ht="31.5" x14ac:dyDescent="0.25">
      <c r="A120" s="199" t="s">
        <v>132</v>
      </c>
      <c r="B120" s="200"/>
      <c r="C120" s="201"/>
      <c r="D120" s="66" t="s">
        <v>139</v>
      </c>
      <c r="E120" s="68"/>
      <c r="F120" s="49"/>
      <c r="G120" s="67">
        <v>7963</v>
      </c>
      <c r="H120" s="67">
        <v>7000</v>
      </c>
      <c r="I120" s="50">
        <f t="shared" si="15"/>
        <v>87.906567876428483</v>
      </c>
    </row>
    <row r="121" spans="1:9" ht="15.75" x14ac:dyDescent="0.25">
      <c r="A121" s="205" t="s">
        <v>149</v>
      </c>
      <c r="B121" s="206"/>
      <c r="C121" s="207"/>
      <c r="D121" s="80" t="s">
        <v>157</v>
      </c>
      <c r="E121" s="69"/>
      <c r="F121" s="70"/>
      <c r="G121" s="81">
        <v>7963</v>
      </c>
      <c r="H121" s="81">
        <f>SUM(H120)</f>
        <v>7000</v>
      </c>
      <c r="I121" s="82">
        <f t="shared" si="15"/>
        <v>87.906567876428483</v>
      </c>
    </row>
    <row r="122" spans="1:9" ht="15.75" x14ac:dyDescent="0.25">
      <c r="A122" s="193">
        <v>3</v>
      </c>
      <c r="B122" s="194"/>
      <c r="C122" s="195"/>
      <c r="D122" s="83" t="s">
        <v>98</v>
      </c>
      <c r="E122" s="69"/>
      <c r="F122" s="70"/>
      <c r="G122" s="81">
        <v>7963</v>
      </c>
      <c r="H122" s="81">
        <f t="shared" ref="H122:H123" si="27">SUM(H121)</f>
        <v>7000</v>
      </c>
      <c r="I122" s="82">
        <f t="shared" si="15"/>
        <v>87.906567876428483</v>
      </c>
    </row>
    <row r="123" spans="1:9" ht="15.75" x14ac:dyDescent="0.25">
      <c r="A123" s="196">
        <v>38</v>
      </c>
      <c r="B123" s="197"/>
      <c r="C123" s="198"/>
      <c r="D123" s="83" t="s">
        <v>137</v>
      </c>
      <c r="E123" s="69"/>
      <c r="F123" s="70"/>
      <c r="G123" s="81">
        <v>7963</v>
      </c>
      <c r="H123" s="81">
        <f t="shared" si="27"/>
        <v>7000</v>
      </c>
      <c r="I123" s="82">
        <f t="shared" si="15"/>
        <v>87.906567876428483</v>
      </c>
    </row>
    <row r="124" spans="1:9" ht="31.5" x14ac:dyDescent="0.25">
      <c r="A124" s="199" t="s">
        <v>133</v>
      </c>
      <c r="B124" s="200"/>
      <c r="C124" s="201"/>
      <c r="D124" s="66" t="s">
        <v>140</v>
      </c>
      <c r="E124" s="68"/>
      <c r="F124" s="49"/>
      <c r="G124" s="67">
        <v>1327</v>
      </c>
      <c r="H124" s="67">
        <v>1000</v>
      </c>
      <c r="I124" s="50">
        <f t="shared" si="15"/>
        <v>75.357950263752826</v>
      </c>
    </row>
    <row r="125" spans="1:9" ht="15.75" x14ac:dyDescent="0.25">
      <c r="A125" s="205" t="s">
        <v>144</v>
      </c>
      <c r="B125" s="206"/>
      <c r="C125" s="207"/>
      <c r="D125" s="80" t="s">
        <v>19</v>
      </c>
      <c r="E125" s="69"/>
      <c r="F125" s="70"/>
      <c r="G125" s="81">
        <v>1327</v>
      </c>
      <c r="H125" s="81">
        <f>SUM(H124)</f>
        <v>1000</v>
      </c>
      <c r="I125" s="82">
        <f t="shared" si="15"/>
        <v>75.357950263752826</v>
      </c>
    </row>
    <row r="126" spans="1:9" ht="15.75" x14ac:dyDescent="0.25">
      <c r="A126" s="193">
        <v>3</v>
      </c>
      <c r="B126" s="194"/>
      <c r="C126" s="195"/>
      <c r="D126" s="83" t="s">
        <v>98</v>
      </c>
      <c r="E126" s="69"/>
      <c r="F126" s="70"/>
      <c r="G126" s="81">
        <v>1327</v>
      </c>
      <c r="H126" s="81">
        <f t="shared" ref="H126:H127" si="28">SUM(H125)</f>
        <v>1000</v>
      </c>
      <c r="I126" s="82">
        <f t="shared" si="15"/>
        <v>75.357950263752826</v>
      </c>
    </row>
    <row r="127" spans="1:9" ht="15.75" x14ac:dyDescent="0.25">
      <c r="A127" s="196">
        <v>38</v>
      </c>
      <c r="B127" s="197"/>
      <c r="C127" s="198"/>
      <c r="D127" s="83" t="s">
        <v>137</v>
      </c>
      <c r="E127" s="69"/>
      <c r="F127" s="70"/>
      <c r="G127" s="81">
        <v>1327</v>
      </c>
      <c r="H127" s="81">
        <f t="shared" si="28"/>
        <v>1000</v>
      </c>
      <c r="I127" s="82">
        <f t="shared" si="15"/>
        <v>75.357950263752826</v>
      </c>
    </row>
    <row r="128" spans="1:9" ht="47.25" x14ac:dyDescent="0.25">
      <c r="A128" s="202" t="s">
        <v>134</v>
      </c>
      <c r="B128" s="203"/>
      <c r="C128" s="204"/>
      <c r="D128" s="64" t="s">
        <v>183</v>
      </c>
      <c r="E128" s="71"/>
      <c r="F128" s="46"/>
      <c r="G128" s="65">
        <f>SUM(G129,G136,G143,G150,G154)</f>
        <v>177849</v>
      </c>
      <c r="H128" s="65">
        <f>SUM(H129,H136,H143,H150,H154)</f>
        <v>180000</v>
      </c>
      <c r="I128" s="47">
        <f t="shared" si="15"/>
        <v>101.20945296290674</v>
      </c>
    </row>
    <row r="129" spans="1:9" ht="63" x14ac:dyDescent="0.25">
      <c r="A129" s="199" t="s">
        <v>135</v>
      </c>
      <c r="B129" s="200"/>
      <c r="C129" s="201"/>
      <c r="D129" s="66" t="s">
        <v>282</v>
      </c>
      <c r="E129" s="68"/>
      <c r="F129" s="49"/>
      <c r="G129" s="67">
        <v>111487</v>
      </c>
      <c r="H129" s="67">
        <v>110000</v>
      </c>
      <c r="I129" s="50">
        <f t="shared" si="15"/>
        <v>98.666212204113478</v>
      </c>
    </row>
    <row r="130" spans="1:9" ht="15.75" x14ac:dyDescent="0.25">
      <c r="A130" s="205" t="s">
        <v>144</v>
      </c>
      <c r="B130" s="206"/>
      <c r="C130" s="207"/>
      <c r="D130" s="80" t="s">
        <v>19</v>
      </c>
      <c r="E130" s="69"/>
      <c r="F130" s="70"/>
      <c r="G130" s="81">
        <v>22352</v>
      </c>
      <c r="H130" s="81">
        <f>H129*0.2</f>
        <v>22000</v>
      </c>
      <c r="I130" s="82">
        <f t="shared" si="15"/>
        <v>98.425196850393704</v>
      </c>
    </row>
    <row r="131" spans="1:9" ht="15.75" x14ac:dyDescent="0.25">
      <c r="A131" s="193">
        <v>3</v>
      </c>
      <c r="B131" s="194"/>
      <c r="C131" s="195"/>
      <c r="D131" s="83" t="s">
        <v>98</v>
      </c>
      <c r="E131" s="69"/>
      <c r="F131" s="70"/>
      <c r="G131" s="81">
        <v>22352</v>
      </c>
      <c r="H131" s="81">
        <f>SUM(H130)</f>
        <v>22000</v>
      </c>
      <c r="I131" s="82">
        <f t="shared" si="15"/>
        <v>98.425196850393704</v>
      </c>
    </row>
    <row r="132" spans="1:9" ht="15.75" x14ac:dyDescent="0.25">
      <c r="A132" s="196">
        <v>38</v>
      </c>
      <c r="B132" s="197"/>
      <c r="C132" s="198"/>
      <c r="D132" s="83" t="s">
        <v>137</v>
      </c>
      <c r="E132" s="69"/>
      <c r="F132" s="70"/>
      <c r="G132" s="81">
        <v>22352</v>
      </c>
      <c r="H132" s="81">
        <f>SUM(H131)</f>
        <v>22000</v>
      </c>
      <c r="I132" s="82">
        <f t="shared" si="15"/>
        <v>98.425196850393704</v>
      </c>
    </row>
    <row r="133" spans="1:9" ht="15.75" x14ac:dyDescent="0.25">
      <c r="A133" s="205" t="s">
        <v>149</v>
      </c>
      <c r="B133" s="206"/>
      <c r="C133" s="207"/>
      <c r="D133" s="80" t="s">
        <v>152</v>
      </c>
      <c r="E133" s="69"/>
      <c r="F133" s="70"/>
      <c r="G133" s="81">
        <f>G129-G130</f>
        <v>89135</v>
      </c>
      <c r="H133" s="81">
        <f>H129-H130</f>
        <v>88000</v>
      </c>
      <c r="I133" s="82">
        <f t="shared" si="15"/>
        <v>98.726650586189493</v>
      </c>
    </row>
    <row r="134" spans="1:9" ht="15.75" x14ac:dyDescent="0.25">
      <c r="A134" s="193">
        <v>3</v>
      </c>
      <c r="B134" s="194"/>
      <c r="C134" s="195"/>
      <c r="D134" s="83" t="s">
        <v>98</v>
      </c>
      <c r="E134" s="69"/>
      <c r="F134" s="70"/>
      <c r="G134" s="81">
        <v>89135</v>
      </c>
      <c r="H134" s="81">
        <f>SUM(H133)</f>
        <v>88000</v>
      </c>
      <c r="I134" s="82">
        <f t="shared" si="15"/>
        <v>98.726650586189493</v>
      </c>
    </row>
    <row r="135" spans="1:9" ht="15.75" x14ac:dyDescent="0.25">
      <c r="A135" s="196">
        <v>38</v>
      </c>
      <c r="B135" s="197"/>
      <c r="C135" s="198"/>
      <c r="D135" s="83" t="s">
        <v>137</v>
      </c>
      <c r="E135" s="69"/>
      <c r="F135" s="70"/>
      <c r="G135" s="81">
        <v>89135</v>
      </c>
      <c r="H135" s="81">
        <f>SUM(H134)</f>
        <v>88000</v>
      </c>
      <c r="I135" s="82">
        <f t="shared" si="15"/>
        <v>98.726650586189493</v>
      </c>
    </row>
    <row r="136" spans="1:9" ht="63" x14ac:dyDescent="0.25">
      <c r="A136" s="199" t="s">
        <v>184</v>
      </c>
      <c r="B136" s="200"/>
      <c r="C136" s="201"/>
      <c r="D136" s="66" t="s">
        <v>188</v>
      </c>
      <c r="E136" s="68"/>
      <c r="F136" s="49"/>
      <c r="G136" s="67">
        <v>29863</v>
      </c>
      <c r="H136" s="67">
        <v>35000</v>
      </c>
      <c r="I136" s="50">
        <f t="shared" ref="I136:I199" si="29">H136/G136*$I$2</f>
        <v>117.20188862471956</v>
      </c>
    </row>
    <row r="137" spans="1:9" ht="15.75" x14ac:dyDescent="0.25">
      <c r="A137" s="205" t="s">
        <v>144</v>
      </c>
      <c r="B137" s="206"/>
      <c r="C137" s="207"/>
      <c r="D137" s="80" t="s">
        <v>19</v>
      </c>
      <c r="E137" s="69"/>
      <c r="F137" s="70"/>
      <c r="G137" s="81">
        <v>6253</v>
      </c>
      <c r="H137" s="81">
        <f>H136*0.2</f>
        <v>7000</v>
      </c>
      <c r="I137" s="82">
        <f t="shared" si="29"/>
        <v>111.94626579241964</v>
      </c>
    </row>
    <row r="138" spans="1:9" ht="15.75" x14ac:dyDescent="0.25">
      <c r="A138" s="193">
        <v>3</v>
      </c>
      <c r="B138" s="194"/>
      <c r="C138" s="195"/>
      <c r="D138" s="83" t="s">
        <v>98</v>
      </c>
      <c r="E138" s="69"/>
      <c r="F138" s="70"/>
      <c r="G138" s="81">
        <v>6253</v>
      </c>
      <c r="H138" s="81">
        <f>SUM(H137)</f>
        <v>7000</v>
      </c>
      <c r="I138" s="82">
        <f t="shared" si="29"/>
        <v>111.94626579241964</v>
      </c>
    </row>
    <row r="139" spans="1:9" ht="31.5" x14ac:dyDescent="0.25">
      <c r="A139" s="196">
        <v>37</v>
      </c>
      <c r="B139" s="197"/>
      <c r="C139" s="198"/>
      <c r="D139" s="83" t="s">
        <v>189</v>
      </c>
      <c r="E139" s="69"/>
      <c r="F139" s="70"/>
      <c r="G139" s="81">
        <v>6253</v>
      </c>
      <c r="H139" s="81">
        <f>SUM(H138)</f>
        <v>7000</v>
      </c>
      <c r="I139" s="82">
        <f t="shared" si="29"/>
        <v>111.94626579241964</v>
      </c>
    </row>
    <row r="140" spans="1:9" ht="15.75" x14ac:dyDescent="0.25">
      <c r="A140" s="205" t="s">
        <v>149</v>
      </c>
      <c r="B140" s="206"/>
      <c r="C140" s="207"/>
      <c r="D140" s="80" t="s">
        <v>157</v>
      </c>
      <c r="E140" s="69"/>
      <c r="F140" s="70"/>
      <c r="G140" s="81">
        <f>G136-G137</f>
        <v>23610</v>
      </c>
      <c r="H140" s="81">
        <f>H136-H137</f>
        <v>28000</v>
      </c>
      <c r="I140" s="82">
        <f t="shared" si="29"/>
        <v>118.59381617958493</v>
      </c>
    </row>
    <row r="141" spans="1:9" ht="15.75" x14ac:dyDescent="0.25">
      <c r="A141" s="193">
        <v>3</v>
      </c>
      <c r="B141" s="194"/>
      <c r="C141" s="195"/>
      <c r="D141" s="83" t="s">
        <v>98</v>
      </c>
      <c r="E141" s="69"/>
      <c r="F141" s="70"/>
      <c r="G141" s="81">
        <v>23610</v>
      </c>
      <c r="H141" s="81">
        <f>SUM(H140)</f>
        <v>28000</v>
      </c>
      <c r="I141" s="82">
        <f t="shared" si="29"/>
        <v>118.59381617958493</v>
      </c>
    </row>
    <row r="142" spans="1:9" ht="31.5" x14ac:dyDescent="0.25">
      <c r="A142" s="196">
        <v>37</v>
      </c>
      <c r="B142" s="197"/>
      <c r="C142" s="198"/>
      <c r="D142" s="83" t="s">
        <v>189</v>
      </c>
      <c r="E142" s="69"/>
      <c r="F142" s="70"/>
      <c r="G142" s="81">
        <v>23610</v>
      </c>
      <c r="H142" s="81">
        <f>SUM(H141)</f>
        <v>28000</v>
      </c>
      <c r="I142" s="82">
        <f t="shared" si="29"/>
        <v>118.59381617958493</v>
      </c>
    </row>
    <row r="143" spans="1:9" ht="25.5" customHeight="1" x14ac:dyDescent="0.25">
      <c r="A143" s="199" t="s">
        <v>185</v>
      </c>
      <c r="B143" s="200"/>
      <c r="C143" s="201"/>
      <c r="D143" s="66" t="s">
        <v>190</v>
      </c>
      <c r="E143" s="68"/>
      <c r="F143" s="49"/>
      <c r="G143" s="67">
        <v>21236</v>
      </c>
      <c r="H143" s="67">
        <v>21000</v>
      </c>
      <c r="I143" s="50">
        <f t="shared" si="29"/>
        <v>98.888679600678103</v>
      </c>
    </row>
    <row r="144" spans="1:9" ht="15.75" x14ac:dyDescent="0.25">
      <c r="A144" s="205" t="s">
        <v>144</v>
      </c>
      <c r="B144" s="206"/>
      <c r="C144" s="207"/>
      <c r="D144" s="80" t="s">
        <v>19</v>
      </c>
      <c r="E144" s="69"/>
      <c r="F144" s="70"/>
      <c r="G144" s="81">
        <v>3252</v>
      </c>
      <c r="H144" s="81">
        <f>H143*0.2</f>
        <v>4200</v>
      </c>
      <c r="I144" s="82">
        <f t="shared" si="29"/>
        <v>129.15129151291512</v>
      </c>
    </row>
    <row r="145" spans="1:9" ht="15.75" x14ac:dyDescent="0.25">
      <c r="A145" s="193">
        <v>3</v>
      </c>
      <c r="B145" s="194"/>
      <c r="C145" s="195"/>
      <c r="D145" s="83" t="s">
        <v>98</v>
      </c>
      <c r="E145" s="69"/>
      <c r="F145" s="70"/>
      <c r="G145" s="81">
        <v>3252</v>
      </c>
      <c r="H145" s="81">
        <f>SUM(H144)</f>
        <v>4200</v>
      </c>
      <c r="I145" s="82">
        <f t="shared" si="29"/>
        <v>129.15129151291512</v>
      </c>
    </row>
    <row r="146" spans="1:9" ht="31.5" x14ac:dyDescent="0.25">
      <c r="A146" s="196">
        <v>37</v>
      </c>
      <c r="B146" s="197"/>
      <c r="C146" s="198"/>
      <c r="D146" s="83" t="s">
        <v>189</v>
      </c>
      <c r="E146" s="69"/>
      <c r="F146" s="70"/>
      <c r="G146" s="81">
        <v>3252</v>
      </c>
      <c r="H146" s="81">
        <f>SUM(H145)</f>
        <v>4200</v>
      </c>
      <c r="I146" s="82">
        <f t="shared" si="29"/>
        <v>129.15129151291512</v>
      </c>
    </row>
    <row r="147" spans="1:9" ht="15.75" x14ac:dyDescent="0.25">
      <c r="A147" s="205" t="s">
        <v>149</v>
      </c>
      <c r="B147" s="206"/>
      <c r="C147" s="207"/>
      <c r="D147" s="80" t="s">
        <v>157</v>
      </c>
      <c r="E147" s="69"/>
      <c r="F147" s="70"/>
      <c r="G147" s="81">
        <f>G143-G144</f>
        <v>17984</v>
      </c>
      <c r="H147" s="81">
        <f>H143-H144</f>
        <v>16800</v>
      </c>
      <c r="I147" s="82">
        <f t="shared" si="29"/>
        <v>93.416370106761576</v>
      </c>
    </row>
    <row r="148" spans="1:9" ht="15.75" x14ac:dyDescent="0.25">
      <c r="A148" s="193">
        <v>3</v>
      </c>
      <c r="B148" s="194"/>
      <c r="C148" s="195"/>
      <c r="D148" s="83" t="s">
        <v>98</v>
      </c>
      <c r="E148" s="69"/>
      <c r="F148" s="70"/>
      <c r="G148" s="81">
        <v>17984</v>
      </c>
      <c r="H148" s="81">
        <f>SUM(H147)</f>
        <v>16800</v>
      </c>
      <c r="I148" s="82">
        <f t="shared" si="29"/>
        <v>93.416370106761576</v>
      </c>
    </row>
    <row r="149" spans="1:9" ht="31.5" x14ac:dyDescent="0.25">
      <c r="A149" s="196">
        <v>37</v>
      </c>
      <c r="B149" s="197"/>
      <c r="C149" s="198"/>
      <c r="D149" s="83" t="s">
        <v>189</v>
      </c>
      <c r="E149" s="69"/>
      <c r="F149" s="70"/>
      <c r="G149" s="81">
        <v>17984</v>
      </c>
      <c r="H149" s="81">
        <f>SUM(H148)</f>
        <v>16800</v>
      </c>
      <c r="I149" s="82">
        <f t="shared" si="29"/>
        <v>93.416370106761576</v>
      </c>
    </row>
    <row r="150" spans="1:9" ht="31.5" x14ac:dyDescent="0.25">
      <c r="A150" s="199" t="s">
        <v>186</v>
      </c>
      <c r="B150" s="200"/>
      <c r="C150" s="201"/>
      <c r="D150" s="66" t="s">
        <v>191</v>
      </c>
      <c r="E150" s="68"/>
      <c r="F150" s="49"/>
      <c r="G150" s="67">
        <v>13272</v>
      </c>
      <c r="H150" s="67">
        <v>13500</v>
      </c>
      <c r="I150" s="50">
        <f t="shared" si="29"/>
        <v>101.71790235081374</v>
      </c>
    </row>
    <row r="151" spans="1:9" ht="15.75" x14ac:dyDescent="0.25">
      <c r="A151" s="205" t="s">
        <v>149</v>
      </c>
      <c r="B151" s="206"/>
      <c r="C151" s="207"/>
      <c r="D151" s="80" t="s">
        <v>157</v>
      </c>
      <c r="E151" s="69"/>
      <c r="F151" s="70"/>
      <c r="G151" s="81">
        <v>13272</v>
      </c>
      <c r="H151" s="81">
        <f>SUM(H150)</f>
        <v>13500</v>
      </c>
      <c r="I151" s="82">
        <f t="shared" si="29"/>
        <v>101.71790235081374</v>
      </c>
    </row>
    <row r="152" spans="1:9" ht="15.75" x14ac:dyDescent="0.25">
      <c r="A152" s="193">
        <v>3</v>
      </c>
      <c r="B152" s="194"/>
      <c r="C152" s="195"/>
      <c r="D152" s="83" t="s">
        <v>98</v>
      </c>
      <c r="E152" s="69"/>
      <c r="F152" s="70"/>
      <c r="G152" s="81">
        <v>13272</v>
      </c>
      <c r="H152" s="81">
        <f>SUM(H151)</f>
        <v>13500</v>
      </c>
      <c r="I152" s="82">
        <f t="shared" si="29"/>
        <v>101.71790235081374</v>
      </c>
    </row>
    <row r="153" spans="1:9" ht="31.5" x14ac:dyDescent="0.25">
      <c r="A153" s="196">
        <v>37</v>
      </c>
      <c r="B153" s="197"/>
      <c r="C153" s="198"/>
      <c r="D153" s="83" t="s">
        <v>189</v>
      </c>
      <c r="E153" s="69"/>
      <c r="F153" s="70"/>
      <c r="G153" s="81">
        <v>13272</v>
      </c>
      <c r="H153" s="81">
        <f>SUM(H152)</f>
        <v>13500</v>
      </c>
      <c r="I153" s="82">
        <f t="shared" si="29"/>
        <v>101.71790235081374</v>
      </c>
    </row>
    <row r="154" spans="1:9" ht="47.25" x14ac:dyDescent="0.25">
      <c r="A154" s="199" t="s">
        <v>187</v>
      </c>
      <c r="B154" s="200"/>
      <c r="C154" s="201"/>
      <c r="D154" s="66" t="s">
        <v>192</v>
      </c>
      <c r="E154" s="68"/>
      <c r="F154" s="49"/>
      <c r="G154" s="67">
        <v>1991</v>
      </c>
      <c r="H154" s="67">
        <v>500</v>
      </c>
      <c r="I154" s="50">
        <f t="shared" si="29"/>
        <v>25.113008538422903</v>
      </c>
    </row>
    <row r="155" spans="1:9" ht="15.75" x14ac:dyDescent="0.25">
      <c r="A155" s="205" t="s">
        <v>149</v>
      </c>
      <c r="B155" s="206"/>
      <c r="C155" s="207"/>
      <c r="D155" s="80" t="s">
        <v>157</v>
      </c>
      <c r="E155" s="69"/>
      <c r="F155" s="70"/>
      <c r="G155" s="81">
        <v>1991</v>
      </c>
      <c r="H155" s="81">
        <f>SUM(H154)</f>
        <v>500</v>
      </c>
      <c r="I155" s="82">
        <f t="shared" si="29"/>
        <v>25.113008538422903</v>
      </c>
    </row>
    <row r="156" spans="1:9" ht="15.75" x14ac:dyDescent="0.25">
      <c r="A156" s="193">
        <v>3</v>
      </c>
      <c r="B156" s="194"/>
      <c r="C156" s="195"/>
      <c r="D156" s="83" t="s">
        <v>98</v>
      </c>
      <c r="E156" s="69"/>
      <c r="F156" s="70"/>
      <c r="G156" s="81">
        <v>1991</v>
      </c>
      <c r="H156" s="81">
        <f t="shared" ref="H156:H157" si="30">SUM(H155)</f>
        <v>500</v>
      </c>
      <c r="I156" s="82">
        <f t="shared" si="29"/>
        <v>25.113008538422903</v>
      </c>
    </row>
    <row r="157" spans="1:9" ht="31.5" x14ac:dyDescent="0.25">
      <c r="A157" s="196">
        <v>37</v>
      </c>
      <c r="B157" s="197"/>
      <c r="C157" s="198"/>
      <c r="D157" s="83" t="s">
        <v>189</v>
      </c>
      <c r="E157" s="69"/>
      <c r="F157" s="70"/>
      <c r="G157" s="81">
        <v>1991</v>
      </c>
      <c r="H157" s="81">
        <f t="shared" si="30"/>
        <v>500</v>
      </c>
      <c r="I157" s="82">
        <f t="shared" si="29"/>
        <v>25.113008538422903</v>
      </c>
    </row>
    <row r="158" spans="1:9" ht="63" x14ac:dyDescent="0.25">
      <c r="A158" s="220" t="s">
        <v>193</v>
      </c>
      <c r="B158" s="221"/>
      <c r="C158" s="222"/>
      <c r="D158" s="64" t="s">
        <v>194</v>
      </c>
      <c r="E158" s="71"/>
      <c r="F158" s="46"/>
      <c r="G158" s="65">
        <f>SUM(G159,G163,G167,G174,G178,G182)</f>
        <v>131396</v>
      </c>
      <c r="H158" s="65">
        <f>SUM(H159,H163,H167,H174,H178,H182)</f>
        <v>135000</v>
      </c>
      <c r="I158" s="47">
        <f t="shared" si="29"/>
        <v>102.74285366373405</v>
      </c>
    </row>
    <row r="159" spans="1:9" ht="47.25" x14ac:dyDescent="0.25">
      <c r="A159" s="211" t="s">
        <v>195</v>
      </c>
      <c r="B159" s="212"/>
      <c r="C159" s="213"/>
      <c r="D159" s="66" t="s">
        <v>196</v>
      </c>
      <c r="E159" s="68"/>
      <c r="F159" s="49"/>
      <c r="G159" s="67">
        <v>26545</v>
      </c>
      <c r="H159" s="67">
        <v>0</v>
      </c>
      <c r="I159" s="50">
        <f t="shared" si="29"/>
        <v>0</v>
      </c>
    </row>
    <row r="160" spans="1:9" ht="15.75" x14ac:dyDescent="0.25">
      <c r="A160" s="205" t="s">
        <v>149</v>
      </c>
      <c r="B160" s="206"/>
      <c r="C160" s="207"/>
      <c r="D160" s="80" t="s">
        <v>157</v>
      </c>
      <c r="E160" s="69"/>
      <c r="F160" s="70"/>
      <c r="G160" s="81">
        <v>26545</v>
      </c>
      <c r="H160" s="81">
        <f>SUM(H159)</f>
        <v>0</v>
      </c>
      <c r="I160" s="82">
        <f t="shared" si="29"/>
        <v>0</v>
      </c>
    </row>
    <row r="161" spans="1:9" ht="15.75" x14ac:dyDescent="0.25">
      <c r="A161" s="193">
        <v>3</v>
      </c>
      <c r="B161" s="194"/>
      <c r="C161" s="195"/>
      <c r="D161" s="83" t="s">
        <v>98</v>
      </c>
      <c r="E161" s="69"/>
      <c r="F161" s="70"/>
      <c r="G161" s="81">
        <v>26545</v>
      </c>
      <c r="H161" s="81">
        <f t="shared" ref="H161:H162" si="31">SUM(H160)</f>
        <v>0</v>
      </c>
      <c r="I161" s="82">
        <f t="shared" si="29"/>
        <v>0</v>
      </c>
    </row>
    <row r="162" spans="1:9" ht="15.75" x14ac:dyDescent="0.25">
      <c r="A162" s="196">
        <v>31</v>
      </c>
      <c r="B162" s="197"/>
      <c r="C162" s="198"/>
      <c r="D162" s="83" t="s">
        <v>94</v>
      </c>
      <c r="E162" s="69"/>
      <c r="F162" s="70"/>
      <c r="G162" s="81">
        <v>26545</v>
      </c>
      <c r="H162" s="81">
        <f t="shared" si="31"/>
        <v>0</v>
      </c>
      <c r="I162" s="82">
        <f t="shared" si="29"/>
        <v>0</v>
      </c>
    </row>
    <row r="163" spans="1:9" ht="31.5" x14ac:dyDescent="0.25">
      <c r="A163" s="199" t="s">
        <v>197</v>
      </c>
      <c r="B163" s="200"/>
      <c r="C163" s="201"/>
      <c r="D163" s="66" t="s">
        <v>198</v>
      </c>
      <c r="E163" s="68"/>
      <c r="F163" s="49"/>
      <c r="G163" s="67">
        <v>6636</v>
      </c>
      <c r="H163" s="67">
        <v>15000</v>
      </c>
      <c r="I163" s="50">
        <f t="shared" si="29"/>
        <v>226.03978300180833</v>
      </c>
    </row>
    <row r="164" spans="1:9" ht="15.75" x14ac:dyDescent="0.25">
      <c r="A164" s="205" t="s">
        <v>149</v>
      </c>
      <c r="B164" s="206"/>
      <c r="C164" s="207"/>
      <c r="D164" s="80" t="s">
        <v>157</v>
      </c>
      <c r="E164" s="69"/>
      <c r="F164" s="70"/>
      <c r="G164" s="81">
        <v>6636</v>
      </c>
      <c r="H164" s="81">
        <f>SUM(H163)</f>
        <v>15000</v>
      </c>
      <c r="I164" s="82">
        <f t="shared" si="29"/>
        <v>226.03978300180833</v>
      </c>
    </row>
    <row r="165" spans="1:9" ht="15.75" x14ac:dyDescent="0.25">
      <c r="A165" s="193">
        <v>3</v>
      </c>
      <c r="B165" s="194"/>
      <c r="C165" s="195"/>
      <c r="D165" s="83" t="s">
        <v>98</v>
      </c>
      <c r="E165" s="69"/>
      <c r="F165" s="70"/>
      <c r="G165" s="81">
        <v>6636</v>
      </c>
      <c r="H165" s="81">
        <f t="shared" ref="H165:H166" si="32">SUM(H164)</f>
        <v>15000</v>
      </c>
      <c r="I165" s="82">
        <f t="shared" si="29"/>
        <v>226.03978300180833</v>
      </c>
    </row>
    <row r="166" spans="1:9" ht="15.75" x14ac:dyDescent="0.25">
      <c r="A166" s="196">
        <v>32</v>
      </c>
      <c r="B166" s="197"/>
      <c r="C166" s="198"/>
      <c r="D166" s="83" t="s">
        <v>106</v>
      </c>
      <c r="E166" s="69"/>
      <c r="F166" s="70"/>
      <c r="G166" s="81">
        <v>6636</v>
      </c>
      <c r="H166" s="81">
        <f t="shared" si="32"/>
        <v>15000</v>
      </c>
      <c r="I166" s="82">
        <f t="shared" si="29"/>
        <v>226.03978300180833</v>
      </c>
    </row>
    <row r="167" spans="1:9" ht="31.5" x14ac:dyDescent="0.25">
      <c r="A167" s="199" t="s">
        <v>199</v>
      </c>
      <c r="B167" s="200"/>
      <c r="C167" s="201"/>
      <c r="D167" s="66" t="s">
        <v>200</v>
      </c>
      <c r="E167" s="68"/>
      <c r="F167" s="49"/>
      <c r="G167" s="67">
        <v>53089</v>
      </c>
      <c r="H167" s="67">
        <v>53000</v>
      </c>
      <c r="I167" s="50">
        <f t="shared" si="29"/>
        <v>99.832356985439546</v>
      </c>
    </row>
    <row r="168" spans="1:9" ht="15.75" x14ac:dyDescent="0.25">
      <c r="A168" s="190" t="s">
        <v>144</v>
      </c>
      <c r="B168" s="191"/>
      <c r="C168" s="192"/>
      <c r="D168" s="80" t="s">
        <v>19</v>
      </c>
      <c r="E168" s="69"/>
      <c r="F168" s="70"/>
      <c r="G168" s="81">
        <v>7253</v>
      </c>
      <c r="H168" s="81">
        <f>H167*0.2</f>
        <v>10600</v>
      </c>
      <c r="I168" s="82">
        <f t="shared" si="29"/>
        <v>146.1464221701365</v>
      </c>
    </row>
    <row r="169" spans="1:9" ht="15.75" x14ac:dyDescent="0.25">
      <c r="A169" s="193">
        <v>3</v>
      </c>
      <c r="B169" s="194"/>
      <c r="C169" s="195"/>
      <c r="D169" s="83" t="s">
        <v>98</v>
      </c>
      <c r="E169" s="69"/>
      <c r="F169" s="70"/>
      <c r="G169" s="81">
        <v>7253</v>
      </c>
      <c r="H169" s="81">
        <f>SUM(H168)</f>
        <v>10600</v>
      </c>
      <c r="I169" s="82">
        <f t="shared" si="29"/>
        <v>146.1464221701365</v>
      </c>
    </row>
    <row r="170" spans="1:9" ht="15.75" x14ac:dyDescent="0.25">
      <c r="A170" s="196">
        <v>32</v>
      </c>
      <c r="B170" s="197"/>
      <c r="C170" s="198"/>
      <c r="D170" s="83" t="s">
        <v>106</v>
      </c>
      <c r="E170" s="69"/>
      <c r="F170" s="70"/>
      <c r="G170" s="81">
        <v>7253</v>
      </c>
      <c r="H170" s="81">
        <f>SUM(H169)</f>
        <v>10600</v>
      </c>
      <c r="I170" s="82">
        <f t="shared" si="29"/>
        <v>146.1464221701365</v>
      </c>
    </row>
    <row r="171" spans="1:9" ht="15.75" x14ac:dyDescent="0.25">
      <c r="A171" s="190" t="s">
        <v>149</v>
      </c>
      <c r="B171" s="191"/>
      <c r="C171" s="192"/>
      <c r="D171" s="80" t="s">
        <v>152</v>
      </c>
      <c r="E171" s="69"/>
      <c r="F171" s="70"/>
      <c r="G171" s="81">
        <f>G167-G168</f>
        <v>45836</v>
      </c>
      <c r="H171" s="81">
        <f>H167-H168</f>
        <v>42400</v>
      </c>
      <c r="I171" s="82">
        <f t="shared" si="29"/>
        <v>92.503708875119997</v>
      </c>
    </row>
    <row r="172" spans="1:9" ht="15.75" x14ac:dyDescent="0.25">
      <c r="A172" s="193">
        <v>3</v>
      </c>
      <c r="B172" s="194"/>
      <c r="C172" s="195"/>
      <c r="D172" s="83" t="s">
        <v>98</v>
      </c>
      <c r="E172" s="69"/>
      <c r="F172" s="70"/>
      <c r="G172" s="81">
        <v>45836</v>
      </c>
      <c r="H172" s="81">
        <f>SUM(H171)</f>
        <v>42400</v>
      </c>
      <c r="I172" s="82">
        <f t="shared" si="29"/>
        <v>92.503708875119997</v>
      </c>
    </row>
    <row r="173" spans="1:9" ht="15.75" x14ac:dyDescent="0.25">
      <c r="A173" s="196">
        <v>32</v>
      </c>
      <c r="B173" s="197"/>
      <c r="C173" s="198"/>
      <c r="D173" s="83" t="s">
        <v>106</v>
      </c>
      <c r="E173" s="69"/>
      <c r="F173" s="70"/>
      <c r="G173" s="81">
        <v>45836</v>
      </c>
      <c r="H173" s="81">
        <f>SUM(H172)</f>
        <v>42400</v>
      </c>
      <c r="I173" s="82">
        <f t="shared" si="29"/>
        <v>92.503708875119997</v>
      </c>
    </row>
    <row r="174" spans="1:9" ht="47.25" x14ac:dyDescent="0.25">
      <c r="A174" s="199" t="s">
        <v>201</v>
      </c>
      <c r="B174" s="200"/>
      <c r="C174" s="201"/>
      <c r="D174" s="66" t="s">
        <v>202</v>
      </c>
      <c r="E174" s="68"/>
      <c r="F174" s="49"/>
      <c r="G174" s="67">
        <v>5309</v>
      </c>
      <c r="H174" s="67">
        <v>15000</v>
      </c>
      <c r="I174" s="50">
        <f t="shared" si="29"/>
        <v>282.53908457336598</v>
      </c>
    </row>
    <row r="175" spans="1:9" ht="14.45" customHeight="1" x14ac:dyDescent="0.25">
      <c r="A175" s="190" t="s">
        <v>149</v>
      </c>
      <c r="B175" s="191"/>
      <c r="C175" s="192"/>
      <c r="D175" s="80" t="s">
        <v>157</v>
      </c>
      <c r="E175" s="69"/>
      <c r="F175" s="70"/>
      <c r="G175" s="81">
        <v>5309</v>
      </c>
      <c r="H175" s="81">
        <f>SUM(H174)</f>
        <v>15000</v>
      </c>
      <c r="I175" s="82">
        <f t="shared" si="29"/>
        <v>282.53908457336598</v>
      </c>
    </row>
    <row r="176" spans="1:9" ht="15.75" x14ac:dyDescent="0.25">
      <c r="A176" s="193">
        <v>3</v>
      </c>
      <c r="B176" s="194"/>
      <c r="C176" s="195"/>
      <c r="D176" s="83" t="s">
        <v>98</v>
      </c>
      <c r="E176" s="69"/>
      <c r="F176" s="70"/>
      <c r="G176" s="81">
        <v>5309</v>
      </c>
      <c r="H176" s="81">
        <f t="shared" ref="H176:H177" si="33">SUM(H175)</f>
        <v>15000</v>
      </c>
      <c r="I176" s="82">
        <f t="shared" si="29"/>
        <v>282.53908457336598</v>
      </c>
    </row>
    <row r="177" spans="1:13" ht="15.75" x14ac:dyDescent="0.25">
      <c r="A177" s="196">
        <v>32</v>
      </c>
      <c r="B177" s="197"/>
      <c r="C177" s="198"/>
      <c r="D177" s="83" t="s">
        <v>106</v>
      </c>
      <c r="E177" s="69"/>
      <c r="F177" s="70"/>
      <c r="G177" s="81">
        <v>5309</v>
      </c>
      <c r="H177" s="81">
        <f t="shared" si="33"/>
        <v>15000</v>
      </c>
      <c r="I177" s="82">
        <f t="shared" si="29"/>
        <v>282.53908457336598</v>
      </c>
    </row>
    <row r="178" spans="1:13" ht="31.5" x14ac:dyDescent="0.25">
      <c r="A178" s="199" t="s">
        <v>203</v>
      </c>
      <c r="B178" s="200"/>
      <c r="C178" s="201"/>
      <c r="D178" s="66" t="s">
        <v>204</v>
      </c>
      <c r="E178" s="68"/>
      <c r="F178" s="49"/>
      <c r="G178" s="67">
        <v>6636</v>
      </c>
      <c r="H178" s="67">
        <v>7000</v>
      </c>
      <c r="I178" s="50">
        <f t="shared" si="29"/>
        <v>105.48523206751055</v>
      </c>
    </row>
    <row r="179" spans="1:13" ht="15.75" x14ac:dyDescent="0.25">
      <c r="A179" s="190" t="s">
        <v>149</v>
      </c>
      <c r="B179" s="191"/>
      <c r="C179" s="192"/>
      <c r="D179" s="80" t="s">
        <v>157</v>
      </c>
      <c r="E179" s="69"/>
      <c r="F179" s="70"/>
      <c r="G179" s="81">
        <v>6636</v>
      </c>
      <c r="H179" s="81">
        <f>SUM(H178)</f>
        <v>7000</v>
      </c>
      <c r="I179" s="82">
        <f t="shared" si="29"/>
        <v>105.48523206751055</v>
      </c>
    </row>
    <row r="180" spans="1:13" ht="15.75" x14ac:dyDescent="0.25">
      <c r="A180" s="193">
        <v>3</v>
      </c>
      <c r="B180" s="194"/>
      <c r="C180" s="195"/>
      <c r="D180" s="83" t="s">
        <v>98</v>
      </c>
      <c r="E180" s="69"/>
      <c r="F180" s="70"/>
      <c r="G180" s="81">
        <v>6636</v>
      </c>
      <c r="H180" s="81">
        <f t="shared" ref="H180:H181" si="34">SUM(H179)</f>
        <v>7000</v>
      </c>
      <c r="I180" s="82">
        <f t="shared" si="29"/>
        <v>105.48523206751055</v>
      </c>
    </row>
    <row r="181" spans="1:13" ht="15.75" x14ac:dyDescent="0.25">
      <c r="A181" s="196">
        <v>32</v>
      </c>
      <c r="B181" s="197"/>
      <c r="C181" s="198"/>
      <c r="D181" s="83" t="s">
        <v>111</v>
      </c>
      <c r="E181" s="69"/>
      <c r="F181" s="70"/>
      <c r="G181" s="81">
        <v>6636</v>
      </c>
      <c r="H181" s="81">
        <f t="shared" si="34"/>
        <v>7000</v>
      </c>
      <c r="I181" s="82">
        <f t="shared" si="29"/>
        <v>105.48523206751055</v>
      </c>
    </row>
    <row r="182" spans="1:13" ht="31.5" x14ac:dyDescent="0.25">
      <c r="A182" s="199" t="s">
        <v>205</v>
      </c>
      <c r="B182" s="200"/>
      <c r="C182" s="201"/>
      <c r="D182" s="66" t="s">
        <v>206</v>
      </c>
      <c r="E182" s="68"/>
      <c r="F182" s="49"/>
      <c r="G182" s="67">
        <v>33181</v>
      </c>
      <c r="H182" s="67">
        <v>45000</v>
      </c>
      <c r="I182" s="50">
        <f t="shared" si="29"/>
        <v>135.61978240559355</v>
      </c>
    </row>
    <row r="183" spans="1:13" ht="15.75" x14ac:dyDescent="0.25">
      <c r="A183" s="190" t="s">
        <v>144</v>
      </c>
      <c r="B183" s="191"/>
      <c r="C183" s="192"/>
      <c r="D183" s="80" t="s">
        <v>19</v>
      </c>
      <c r="E183" s="69"/>
      <c r="F183" s="70"/>
      <c r="G183" s="81">
        <v>4252</v>
      </c>
      <c r="H183" s="81">
        <f>H182*0.2</f>
        <v>9000</v>
      </c>
      <c r="I183" s="82">
        <f t="shared" si="29"/>
        <v>211.6650987770461</v>
      </c>
    </row>
    <row r="184" spans="1:13" ht="15.75" x14ac:dyDescent="0.25">
      <c r="A184" s="193">
        <v>3</v>
      </c>
      <c r="B184" s="194"/>
      <c r="C184" s="195"/>
      <c r="D184" s="83" t="s">
        <v>98</v>
      </c>
      <c r="E184" s="69"/>
      <c r="F184" s="70"/>
      <c r="G184" s="81">
        <v>4252</v>
      </c>
      <c r="H184" s="81">
        <f>SUM(H183)</f>
        <v>9000</v>
      </c>
      <c r="I184" s="82">
        <f t="shared" si="29"/>
        <v>211.6650987770461</v>
      </c>
    </row>
    <row r="185" spans="1:13" ht="15.75" x14ac:dyDescent="0.25">
      <c r="A185" s="196">
        <v>32</v>
      </c>
      <c r="B185" s="197"/>
      <c r="C185" s="198"/>
      <c r="D185" s="83" t="s">
        <v>111</v>
      </c>
      <c r="E185" s="69"/>
      <c r="F185" s="70"/>
      <c r="G185" s="81">
        <v>4252</v>
      </c>
      <c r="H185" s="81">
        <f>SUM(H184)</f>
        <v>9000</v>
      </c>
      <c r="I185" s="82">
        <f t="shared" si="29"/>
        <v>211.6650987770461</v>
      </c>
    </row>
    <row r="186" spans="1:13" ht="14.45" customHeight="1" x14ac:dyDescent="0.25">
      <c r="A186" s="190" t="s">
        <v>149</v>
      </c>
      <c r="B186" s="191"/>
      <c r="C186" s="192"/>
      <c r="D186" s="80" t="s">
        <v>157</v>
      </c>
      <c r="E186" s="69"/>
      <c r="F186" s="70"/>
      <c r="G186" s="81">
        <f>G182-G183</f>
        <v>28929</v>
      </c>
      <c r="H186" s="81">
        <f>H182-H183</f>
        <v>36000</v>
      </c>
      <c r="I186" s="82">
        <f t="shared" si="29"/>
        <v>124.44260085035776</v>
      </c>
    </row>
    <row r="187" spans="1:13" ht="15.75" x14ac:dyDescent="0.25">
      <c r="A187" s="193">
        <v>3</v>
      </c>
      <c r="B187" s="194"/>
      <c r="C187" s="195"/>
      <c r="D187" s="83" t="s">
        <v>98</v>
      </c>
      <c r="E187" s="69"/>
      <c r="F187" s="70"/>
      <c r="G187" s="81">
        <v>28929</v>
      </c>
      <c r="H187" s="81">
        <f>SUM(H186)</f>
        <v>36000</v>
      </c>
      <c r="I187" s="82">
        <f t="shared" si="29"/>
        <v>124.44260085035776</v>
      </c>
    </row>
    <row r="188" spans="1:13" ht="15.75" x14ac:dyDescent="0.25">
      <c r="A188" s="196">
        <v>32</v>
      </c>
      <c r="B188" s="197"/>
      <c r="C188" s="198"/>
      <c r="D188" s="83" t="s">
        <v>111</v>
      </c>
      <c r="E188" s="69"/>
      <c r="F188" s="70"/>
      <c r="G188" s="81">
        <v>28929</v>
      </c>
      <c r="H188" s="81">
        <f>SUM(H187)</f>
        <v>36000</v>
      </c>
      <c r="I188" s="82">
        <f t="shared" si="29"/>
        <v>124.44260085035776</v>
      </c>
    </row>
    <row r="189" spans="1:13" ht="47.25" x14ac:dyDescent="0.25">
      <c r="A189" s="202" t="s">
        <v>207</v>
      </c>
      <c r="B189" s="203"/>
      <c r="C189" s="204"/>
      <c r="D189" s="64" t="s">
        <v>141</v>
      </c>
      <c r="E189" s="71"/>
      <c r="F189" s="46"/>
      <c r="G189" s="65">
        <f>SUM(G190,G197,G204,G211,G218,G225,G232,G239,G246,G253,G260,G267,G274,G281)</f>
        <v>1132125</v>
      </c>
      <c r="H189" s="65">
        <f>SUM(H190,H197,H204,H211,H218,H225,H232,H239,H246,H253,H260,H267,H274,H281)</f>
        <v>847000</v>
      </c>
      <c r="I189" s="47">
        <f t="shared" si="29"/>
        <v>74.815060174450693</v>
      </c>
    </row>
    <row r="190" spans="1:13" ht="47.25" x14ac:dyDescent="0.25">
      <c r="A190" s="199" t="s">
        <v>208</v>
      </c>
      <c r="B190" s="200"/>
      <c r="C190" s="201"/>
      <c r="D190" s="66" t="s">
        <v>209</v>
      </c>
      <c r="E190" s="68"/>
      <c r="F190" s="49"/>
      <c r="G190" s="67">
        <v>132723</v>
      </c>
      <c r="H190" s="67">
        <v>250000</v>
      </c>
      <c r="I190" s="50">
        <f t="shared" si="29"/>
        <v>188.36222809912374</v>
      </c>
    </row>
    <row r="191" spans="1:13" ht="15.75" x14ac:dyDescent="0.25">
      <c r="A191" s="190" t="s">
        <v>144</v>
      </c>
      <c r="B191" s="191"/>
      <c r="C191" s="192"/>
      <c r="D191" s="80" t="s">
        <v>19</v>
      </c>
      <c r="E191" s="69"/>
      <c r="F191" s="70"/>
      <c r="G191" s="81">
        <v>7585</v>
      </c>
      <c r="H191" s="81">
        <v>50000</v>
      </c>
      <c r="I191" s="82">
        <f t="shared" si="29"/>
        <v>659.19578114700062</v>
      </c>
    </row>
    <row r="192" spans="1:13" ht="31.5" x14ac:dyDescent="0.25">
      <c r="A192" s="193">
        <v>4</v>
      </c>
      <c r="B192" s="194"/>
      <c r="C192" s="195"/>
      <c r="D192" s="83" t="s">
        <v>142</v>
      </c>
      <c r="E192" s="69"/>
      <c r="F192" s="70"/>
      <c r="G192" s="81">
        <v>7585</v>
      </c>
      <c r="H192" s="81">
        <f>SUM(H191)</f>
        <v>50000</v>
      </c>
      <c r="I192" s="82">
        <f t="shared" si="29"/>
        <v>659.19578114700062</v>
      </c>
      <c r="L192" s="29"/>
      <c r="M192" s="29"/>
    </row>
    <row r="193" spans="1:13" ht="47.25" x14ac:dyDescent="0.25">
      <c r="A193" s="196">
        <v>42</v>
      </c>
      <c r="B193" s="197"/>
      <c r="C193" s="198"/>
      <c r="D193" s="83" t="s">
        <v>51</v>
      </c>
      <c r="E193" s="69"/>
      <c r="F193" s="70"/>
      <c r="G193" s="81">
        <v>7585</v>
      </c>
      <c r="H193" s="81">
        <f>SUM(H192)</f>
        <v>50000</v>
      </c>
      <c r="I193" s="82">
        <f t="shared" si="29"/>
        <v>659.19578114700062</v>
      </c>
      <c r="L193" s="29"/>
      <c r="M193" s="29"/>
    </row>
    <row r="194" spans="1:13" ht="15.75" x14ac:dyDescent="0.25">
      <c r="A194" s="190" t="s">
        <v>149</v>
      </c>
      <c r="B194" s="191"/>
      <c r="C194" s="192"/>
      <c r="D194" s="80" t="s">
        <v>152</v>
      </c>
      <c r="E194" s="69"/>
      <c r="F194" s="70"/>
      <c r="G194" s="81">
        <f>SUM(G190-G191)</f>
        <v>125138</v>
      </c>
      <c r="H194" s="81">
        <f>H190-H191</f>
        <v>200000</v>
      </c>
      <c r="I194" s="82">
        <f t="shared" si="29"/>
        <v>159.82355479550577</v>
      </c>
    </row>
    <row r="195" spans="1:13" ht="31.5" x14ac:dyDescent="0.25">
      <c r="A195" s="193">
        <v>4</v>
      </c>
      <c r="B195" s="194"/>
      <c r="C195" s="195"/>
      <c r="D195" s="83" t="s">
        <v>142</v>
      </c>
      <c r="E195" s="69"/>
      <c r="F195" s="70"/>
      <c r="G195" s="81">
        <v>125138</v>
      </c>
      <c r="H195" s="81">
        <f>SUM(H194)</f>
        <v>200000</v>
      </c>
      <c r="I195" s="82">
        <f t="shared" si="29"/>
        <v>159.82355479550577</v>
      </c>
    </row>
    <row r="196" spans="1:13" ht="47.25" x14ac:dyDescent="0.25">
      <c r="A196" s="196">
        <v>42</v>
      </c>
      <c r="B196" s="197"/>
      <c r="C196" s="198"/>
      <c r="D196" s="83" t="s">
        <v>51</v>
      </c>
      <c r="E196" s="69"/>
      <c r="F196" s="70"/>
      <c r="G196" s="81">
        <v>125138</v>
      </c>
      <c r="H196" s="81">
        <f>SUM(H195)</f>
        <v>200000</v>
      </c>
      <c r="I196" s="82">
        <f t="shared" si="29"/>
        <v>159.82355479550577</v>
      </c>
      <c r="L196" s="29"/>
      <c r="M196" s="30"/>
    </row>
    <row r="197" spans="1:13" ht="15.75" x14ac:dyDescent="0.25">
      <c r="A197" s="199" t="s">
        <v>210</v>
      </c>
      <c r="B197" s="200"/>
      <c r="C197" s="201"/>
      <c r="D197" s="66" t="s">
        <v>143</v>
      </c>
      <c r="E197" s="68"/>
      <c r="F197" s="49"/>
      <c r="G197" s="67">
        <v>132723</v>
      </c>
      <c r="H197" s="67">
        <v>20000</v>
      </c>
      <c r="I197" s="50">
        <f t="shared" si="29"/>
        <v>15.068978247929898</v>
      </c>
    </row>
    <row r="198" spans="1:13" ht="15.75" x14ac:dyDescent="0.25">
      <c r="A198" s="190" t="s">
        <v>144</v>
      </c>
      <c r="B198" s="191"/>
      <c r="C198" s="192"/>
      <c r="D198" s="80" t="s">
        <v>19</v>
      </c>
      <c r="E198" s="69"/>
      <c r="F198" s="70"/>
      <c r="G198" s="81">
        <v>12252</v>
      </c>
      <c r="H198" s="81">
        <f>H197*0.1</f>
        <v>2000</v>
      </c>
      <c r="I198" s="82">
        <f t="shared" si="29"/>
        <v>16.323865491348354</v>
      </c>
    </row>
    <row r="199" spans="1:13" ht="31.5" x14ac:dyDescent="0.25">
      <c r="A199" s="193">
        <v>4</v>
      </c>
      <c r="B199" s="194"/>
      <c r="C199" s="195"/>
      <c r="D199" s="83" t="s">
        <v>142</v>
      </c>
      <c r="E199" s="69"/>
      <c r="F199" s="70"/>
      <c r="G199" s="81">
        <v>12252</v>
      </c>
      <c r="H199" s="81">
        <f t="shared" ref="H199:H200" si="35">SUM(H198)</f>
        <v>2000</v>
      </c>
      <c r="I199" s="82">
        <f t="shared" si="29"/>
        <v>16.323865491348354</v>
      </c>
    </row>
    <row r="200" spans="1:13" ht="47.25" x14ac:dyDescent="0.25">
      <c r="A200" s="196">
        <v>42</v>
      </c>
      <c r="B200" s="197"/>
      <c r="C200" s="198"/>
      <c r="D200" s="83" t="s">
        <v>51</v>
      </c>
      <c r="E200" s="69"/>
      <c r="F200" s="70"/>
      <c r="G200" s="81">
        <v>12252</v>
      </c>
      <c r="H200" s="81">
        <f t="shared" si="35"/>
        <v>2000</v>
      </c>
      <c r="I200" s="82">
        <f t="shared" ref="I200:I263" si="36">H200/G200*$I$2</f>
        <v>16.323865491348354</v>
      </c>
    </row>
    <row r="201" spans="1:13" ht="15.75" x14ac:dyDescent="0.25">
      <c r="A201" s="190" t="s">
        <v>149</v>
      </c>
      <c r="B201" s="191"/>
      <c r="C201" s="192"/>
      <c r="D201" s="80" t="s">
        <v>211</v>
      </c>
      <c r="E201" s="69"/>
      <c r="F201" s="70"/>
      <c r="G201" s="81">
        <f>SUM(G197-G198)</f>
        <v>120471</v>
      </c>
      <c r="H201" s="81">
        <f>H197-H198</f>
        <v>18000</v>
      </c>
      <c r="I201" s="82">
        <f t="shared" si="36"/>
        <v>14.941355180914909</v>
      </c>
    </row>
    <row r="202" spans="1:13" ht="31.5" x14ac:dyDescent="0.25">
      <c r="A202" s="193">
        <v>4</v>
      </c>
      <c r="B202" s="194"/>
      <c r="C202" s="195"/>
      <c r="D202" s="83" t="s">
        <v>142</v>
      </c>
      <c r="E202" s="69"/>
      <c r="F202" s="70"/>
      <c r="G202" s="81">
        <v>120471</v>
      </c>
      <c r="H202" s="81">
        <f>SUM(H201)</f>
        <v>18000</v>
      </c>
      <c r="I202" s="82">
        <f t="shared" si="36"/>
        <v>14.941355180914909</v>
      </c>
    </row>
    <row r="203" spans="1:13" ht="47.25" x14ac:dyDescent="0.25">
      <c r="A203" s="196">
        <v>42</v>
      </c>
      <c r="B203" s="197"/>
      <c r="C203" s="198"/>
      <c r="D203" s="83" t="s">
        <v>51</v>
      </c>
      <c r="E203" s="69"/>
      <c r="F203" s="70"/>
      <c r="G203" s="81">
        <v>120471</v>
      </c>
      <c r="H203" s="81">
        <f>SUM(H202)</f>
        <v>18000</v>
      </c>
      <c r="I203" s="82">
        <f t="shared" si="36"/>
        <v>14.941355180914909</v>
      </c>
    </row>
    <row r="204" spans="1:13" ht="78.75" x14ac:dyDescent="0.25">
      <c r="A204" s="199" t="s">
        <v>212</v>
      </c>
      <c r="B204" s="200"/>
      <c r="C204" s="201"/>
      <c r="D204" s="66" t="s">
        <v>213</v>
      </c>
      <c r="E204" s="68"/>
      <c r="F204" s="49"/>
      <c r="G204" s="67">
        <v>132723</v>
      </c>
      <c r="H204" s="67">
        <v>160000</v>
      </c>
      <c r="I204" s="50">
        <f t="shared" si="36"/>
        <v>120.55182598343919</v>
      </c>
    </row>
    <row r="205" spans="1:13" ht="15.75" x14ac:dyDescent="0.25">
      <c r="A205" s="190" t="s">
        <v>144</v>
      </c>
      <c r="B205" s="191"/>
      <c r="C205" s="192"/>
      <c r="D205" s="80" t="s">
        <v>19</v>
      </c>
      <c r="E205" s="69"/>
      <c r="F205" s="70"/>
      <c r="G205" s="81">
        <v>5685</v>
      </c>
      <c r="H205" s="81">
        <f>H204*0.2</f>
        <v>32000</v>
      </c>
      <c r="I205" s="82">
        <f t="shared" si="36"/>
        <v>562.8847845206684</v>
      </c>
    </row>
    <row r="206" spans="1:13" ht="31.5" x14ac:dyDescent="0.25">
      <c r="A206" s="193">
        <v>4</v>
      </c>
      <c r="B206" s="194"/>
      <c r="C206" s="195"/>
      <c r="D206" s="83" t="s">
        <v>142</v>
      </c>
      <c r="E206" s="69"/>
      <c r="F206" s="70"/>
      <c r="G206" s="81">
        <v>5685</v>
      </c>
      <c r="H206" s="81">
        <f>SUM(H205)</f>
        <v>32000</v>
      </c>
      <c r="I206" s="82">
        <f t="shared" si="36"/>
        <v>562.8847845206684</v>
      </c>
    </row>
    <row r="207" spans="1:13" ht="47.25" x14ac:dyDescent="0.25">
      <c r="A207" s="196">
        <v>42</v>
      </c>
      <c r="B207" s="197"/>
      <c r="C207" s="198"/>
      <c r="D207" s="83" t="s">
        <v>51</v>
      </c>
      <c r="E207" s="69"/>
      <c r="F207" s="70"/>
      <c r="G207" s="81">
        <v>5685</v>
      </c>
      <c r="H207" s="81">
        <f>SUM(H206)</f>
        <v>32000</v>
      </c>
      <c r="I207" s="82">
        <f t="shared" si="36"/>
        <v>562.8847845206684</v>
      </c>
    </row>
    <row r="208" spans="1:13" ht="15.75" x14ac:dyDescent="0.25">
      <c r="A208" s="190" t="s">
        <v>149</v>
      </c>
      <c r="B208" s="191"/>
      <c r="C208" s="192"/>
      <c r="D208" s="80" t="s">
        <v>152</v>
      </c>
      <c r="E208" s="69"/>
      <c r="F208" s="70"/>
      <c r="G208" s="81">
        <f>SUM(G204-G205)</f>
        <v>127038</v>
      </c>
      <c r="H208" s="81">
        <f>H204-H205</f>
        <v>128000</v>
      </c>
      <c r="I208" s="82">
        <f t="shared" si="36"/>
        <v>100.75725373510289</v>
      </c>
    </row>
    <row r="209" spans="1:9" ht="31.5" x14ac:dyDescent="0.25">
      <c r="A209" s="193">
        <v>4</v>
      </c>
      <c r="B209" s="194"/>
      <c r="C209" s="195"/>
      <c r="D209" s="83" t="s">
        <v>142</v>
      </c>
      <c r="E209" s="69"/>
      <c r="F209" s="70"/>
      <c r="G209" s="81">
        <v>127038</v>
      </c>
      <c r="H209" s="81">
        <f>SUM(H208)</f>
        <v>128000</v>
      </c>
      <c r="I209" s="82">
        <f t="shared" si="36"/>
        <v>100.75725373510289</v>
      </c>
    </row>
    <row r="210" spans="1:9" ht="47.25" x14ac:dyDescent="0.25">
      <c r="A210" s="196">
        <v>42</v>
      </c>
      <c r="B210" s="197"/>
      <c r="C210" s="198"/>
      <c r="D210" s="83" t="s">
        <v>51</v>
      </c>
      <c r="E210" s="69"/>
      <c r="F210" s="70"/>
      <c r="G210" s="81">
        <v>127038</v>
      </c>
      <c r="H210" s="81">
        <f>SUM(H209)</f>
        <v>128000</v>
      </c>
      <c r="I210" s="82">
        <f t="shared" si="36"/>
        <v>100.75725373510289</v>
      </c>
    </row>
    <row r="211" spans="1:9" ht="31.5" x14ac:dyDescent="0.25">
      <c r="A211" s="199" t="s">
        <v>215</v>
      </c>
      <c r="B211" s="200"/>
      <c r="C211" s="201"/>
      <c r="D211" s="66" t="s">
        <v>214</v>
      </c>
      <c r="E211" s="68"/>
      <c r="F211" s="49"/>
      <c r="G211" s="67">
        <v>53089</v>
      </c>
      <c r="H211" s="67">
        <v>110000</v>
      </c>
      <c r="I211" s="50">
        <f t="shared" si="36"/>
        <v>207.19923147921415</v>
      </c>
    </row>
    <row r="212" spans="1:9" ht="15.75" x14ac:dyDescent="0.25">
      <c r="A212" s="190" t="s">
        <v>144</v>
      </c>
      <c r="B212" s="191"/>
      <c r="C212" s="192"/>
      <c r="D212" s="80" t="s">
        <v>19</v>
      </c>
      <c r="E212" s="69"/>
      <c r="F212" s="70"/>
      <c r="G212" s="81">
        <v>4253</v>
      </c>
      <c r="H212" s="81">
        <v>29245</v>
      </c>
      <c r="I212" s="82">
        <f t="shared" si="36"/>
        <v>687.63225958147189</v>
      </c>
    </row>
    <row r="213" spans="1:9" ht="31.5" x14ac:dyDescent="0.25">
      <c r="A213" s="193">
        <v>4</v>
      </c>
      <c r="B213" s="194"/>
      <c r="C213" s="195"/>
      <c r="D213" s="83" t="s">
        <v>142</v>
      </c>
      <c r="E213" s="69"/>
      <c r="F213" s="70"/>
      <c r="G213" s="81">
        <v>4253</v>
      </c>
      <c r="H213" s="81">
        <f>SUM(H212)</f>
        <v>29245</v>
      </c>
      <c r="I213" s="82">
        <f t="shared" si="36"/>
        <v>687.63225958147189</v>
      </c>
    </row>
    <row r="214" spans="1:9" ht="47.25" x14ac:dyDescent="0.25">
      <c r="A214" s="196">
        <v>42</v>
      </c>
      <c r="B214" s="197"/>
      <c r="C214" s="198"/>
      <c r="D214" s="83" t="s">
        <v>51</v>
      </c>
      <c r="E214" s="69"/>
      <c r="F214" s="70"/>
      <c r="G214" s="81">
        <v>4253</v>
      </c>
      <c r="H214" s="81">
        <f>SUM(H213)</f>
        <v>29245</v>
      </c>
      <c r="I214" s="82">
        <f t="shared" si="36"/>
        <v>687.63225958147189</v>
      </c>
    </row>
    <row r="215" spans="1:9" ht="15.75" x14ac:dyDescent="0.25">
      <c r="A215" s="190" t="s">
        <v>149</v>
      </c>
      <c r="B215" s="191"/>
      <c r="C215" s="192"/>
      <c r="D215" s="80" t="s">
        <v>152</v>
      </c>
      <c r="E215" s="69"/>
      <c r="F215" s="70"/>
      <c r="G215" s="81">
        <f>G211-G212</f>
        <v>48836</v>
      </c>
      <c r="H215" s="81">
        <f>H211-H212</f>
        <v>80755</v>
      </c>
      <c r="I215" s="82">
        <f t="shared" si="36"/>
        <v>165.35957080842002</v>
      </c>
    </row>
    <row r="216" spans="1:9" ht="31.5" x14ac:dyDescent="0.25">
      <c r="A216" s="193">
        <v>4</v>
      </c>
      <c r="B216" s="194"/>
      <c r="C216" s="195"/>
      <c r="D216" s="83" t="s">
        <v>142</v>
      </c>
      <c r="E216" s="69"/>
      <c r="F216" s="70"/>
      <c r="G216" s="81">
        <v>48836</v>
      </c>
      <c r="H216" s="81">
        <f>SUM(H215)</f>
        <v>80755</v>
      </c>
      <c r="I216" s="82">
        <f t="shared" si="36"/>
        <v>165.35957080842002</v>
      </c>
    </row>
    <row r="217" spans="1:9" ht="47.25" x14ac:dyDescent="0.25">
      <c r="A217" s="196">
        <v>42</v>
      </c>
      <c r="B217" s="197"/>
      <c r="C217" s="198"/>
      <c r="D217" s="83" t="s">
        <v>51</v>
      </c>
      <c r="E217" s="69"/>
      <c r="F217" s="70"/>
      <c r="G217" s="81">
        <v>48836</v>
      </c>
      <c r="H217" s="81">
        <f>SUM(H216)</f>
        <v>80755</v>
      </c>
      <c r="I217" s="82">
        <f t="shared" si="36"/>
        <v>165.35957080842002</v>
      </c>
    </row>
    <row r="218" spans="1:9" ht="63" x14ac:dyDescent="0.25">
      <c r="A218" s="199" t="s">
        <v>216</v>
      </c>
      <c r="B218" s="200"/>
      <c r="C218" s="201"/>
      <c r="D218" s="66" t="s">
        <v>217</v>
      </c>
      <c r="E218" s="68"/>
      <c r="F218" s="49"/>
      <c r="G218" s="67">
        <v>13272</v>
      </c>
      <c r="H218" s="67">
        <v>7000</v>
      </c>
      <c r="I218" s="50">
        <f t="shared" si="36"/>
        <v>52.742616033755276</v>
      </c>
    </row>
    <row r="219" spans="1:9" ht="15.75" x14ac:dyDescent="0.25">
      <c r="A219" s="190" t="s">
        <v>144</v>
      </c>
      <c r="B219" s="191"/>
      <c r="C219" s="192"/>
      <c r="D219" s="80" t="s">
        <v>19</v>
      </c>
      <c r="E219" s="69"/>
      <c r="F219" s="70"/>
      <c r="G219" s="81">
        <v>5308.8</v>
      </c>
      <c r="H219" s="81">
        <f>H218*0.2</f>
        <v>1400</v>
      </c>
      <c r="I219" s="82">
        <f t="shared" si="36"/>
        <v>26.371308016877638</v>
      </c>
    </row>
    <row r="220" spans="1:9" ht="31.5" x14ac:dyDescent="0.25">
      <c r="A220" s="193">
        <v>4</v>
      </c>
      <c r="B220" s="194"/>
      <c r="C220" s="195"/>
      <c r="D220" s="83" t="s">
        <v>142</v>
      </c>
      <c r="E220" s="69"/>
      <c r="F220" s="70"/>
      <c r="G220" s="81">
        <v>5308.8</v>
      </c>
      <c r="H220" s="81">
        <f>SUM(H219)</f>
        <v>1400</v>
      </c>
      <c r="I220" s="82">
        <f t="shared" si="36"/>
        <v>26.371308016877638</v>
      </c>
    </row>
    <row r="221" spans="1:9" ht="47.25" x14ac:dyDescent="0.25">
      <c r="A221" s="196">
        <v>42</v>
      </c>
      <c r="B221" s="197"/>
      <c r="C221" s="198"/>
      <c r="D221" s="83" t="s">
        <v>51</v>
      </c>
      <c r="E221" s="69"/>
      <c r="F221" s="70"/>
      <c r="G221" s="81">
        <v>5308.8</v>
      </c>
      <c r="H221" s="81">
        <f>SUM(H220)</f>
        <v>1400</v>
      </c>
      <c r="I221" s="82">
        <f t="shared" si="36"/>
        <v>26.371308016877638</v>
      </c>
    </row>
    <row r="222" spans="1:9" ht="15.75" x14ac:dyDescent="0.25">
      <c r="A222" s="190" t="s">
        <v>149</v>
      </c>
      <c r="B222" s="191"/>
      <c r="C222" s="192"/>
      <c r="D222" s="80" t="s">
        <v>152</v>
      </c>
      <c r="E222" s="69"/>
      <c r="F222" s="70"/>
      <c r="G222" s="81">
        <v>7963.2</v>
      </c>
      <c r="H222" s="81">
        <f>H218-H219</f>
        <v>5600</v>
      </c>
      <c r="I222" s="82">
        <f t="shared" si="36"/>
        <v>70.323488045007025</v>
      </c>
    </row>
    <row r="223" spans="1:9" ht="31.5" x14ac:dyDescent="0.25">
      <c r="A223" s="193">
        <v>4</v>
      </c>
      <c r="B223" s="194"/>
      <c r="C223" s="195"/>
      <c r="D223" s="83" t="s">
        <v>142</v>
      </c>
      <c r="E223" s="69"/>
      <c r="F223" s="70"/>
      <c r="G223" s="81">
        <v>7963.2</v>
      </c>
      <c r="H223" s="81">
        <f>SUM(H222)</f>
        <v>5600</v>
      </c>
      <c r="I223" s="82">
        <f t="shared" si="36"/>
        <v>70.323488045007025</v>
      </c>
    </row>
    <row r="224" spans="1:9" ht="47.25" x14ac:dyDescent="0.25">
      <c r="A224" s="196">
        <v>42</v>
      </c>
      <c r="B224" s="197"/>
      <c r="C224" s="198"/>
      <c r="D224" s="83" t="s">
        <v>51</v>
      </c>
      <c r="E224" s="69"/>
      <c r="F224" s="70"/>
      <c r="G224" s="81">
        <v>7963.2</v>
      </c>
      <c r="H224" s="81">
        <f>SUM(H223)</f>
        <v>5600</v>
      </c>
      <c r="I224" s="82">
        <f t="shared" si="36"/>
        <v>70.323488045007025</v>
      </c>
    </row>
    <row r="225" spans="1:9" ht="31.5" x14ac:dyDescent="0.25">
      <c r="A225" s="199" t="s">
        <v>218</v>
      </c>
      <c r="B225" s="200"/>
      <c r="C225" s="201"/>
      <c r="D225" s="66" t="s">
        <v>219</v>
      </c>
      <c r="E225" s="68"/>
      <c r="F225" s="49"/>
      <c r="G225" s="67">
        <v>13272</v>
      </c>
      <c r="H225" s="67">
        <v>0</v>
      </c>
      <c r="I225" s="50">
        <f t="shared" si="36"/>
        <v>0</v>
      </c>
    </row>
    <row r="226" spans="1:9" ht="15.75" x14ac:dyDescent="0.25">
      <c r="A226" s="190" t="s">
        <v>144</v>
      </c>
      <c r="B226" s="191"/>
      <c r="C226" s="192"/>
      <c r="D226" s="80" t="s">
        <v>19</v>
      </c>
      <c r="E226" s="69"/>
      <c r="F226" s="70"/>
      <c r="G226" s="81">
        <v>3318</v>
      </c>
      <c r="H226" s="81">
        <v>0</v>
      </c>
      <c r="I226" s="82">
        <f t="shared" si="36"/>
        <v>0</v>
      </c>
    </row>
    <row r="227" spans="1:9" ht="31.5" x14ac:dyDescent="0.25">
      <c r="A227" s="193">
        <v>4</v>
      </c>
      <c r="B227" s="194"/>
      <c r="C227" s="195"/>
      <c r="D227" s="83" t="s">
        <v>142</v>
      </c>
      <c r="E227" s="69"/>
      <c r="F227" s="70"/>
      <c r="G227" s="81">
        <v>3318</v>
      </c>
      <c r="H227" s="81">
        <v>0</v>
      </c>
      <c r="I227" s="82">
        <f t="shared" si="36"/>
        <v>0</v>
      </c>
    </row>
    <row r="228" spans="1:9" ht="47.25" x14ac:dyDescent="0.25">
      <c r="A228" s="196">
        <v>42</v>
      </c>
      <c r="B228" s="197"/>
      <c r="C228" s="198"/>
      <c r="D228" s="83" t="s">
        <v>153</v>
      </c>
      <c r="E228" s="69"/>
      <c r="F228" s="70"/>
      <c r="G228" s="81">
        <v>3318</v>
      </c>
      <c r="H228" s="81">
        <v>0</v>
      </c>
      <c r="I228" s="82">
        <f t="shared" si="36"/>
        <v>0</v>
      </c>
    </row>
    <row r="229" spans="1:9" ht="15.75" x14ac:dyDescent="0.25">
      <c r="A229" s="190" t="s">
        <v>149</v>
      </c>
      <c r="B229" s="191"/>
      <c r="C229" s="192"/>
      <c r="D229" s="80" t="s">
        <v>152</v>
      </c>
      <c r="E229" s="69"/>
      <c r="F229" s="70"/>
      <c r="G229" s="81">
        <v>9954</v>
      </c>
      <c r="H229" s="81">
        <v>0</v>
      </c>
      <c r="I229" s="82">
        <f t="shared" si="36"/>
        <v>0</v>
      </c>
    </row>
    <row r="230" spans="1:9" ht="31.5" x14ac:dyDescent="0.25">
      <c r="A230" s="193">
        <v>4</v>
      </c>
      <c r="B230" s="194"/>
      <c r="C230" s="195"/>
      <c r="D230" s="83" t="s">
        <v>142</v>
      </c>
      <c r="E230" s="69"/>
      <c r="F230" s="70"/>
      <c r="G230" s="81">
        <v>9954</v>
      </c>
      <c r="H230" s="81">
        <v>0</v>
      </c>
      <c r="I230" s="82">
        <f t="shared" si="36"/>
        <v>0</v>
      </c>
    </row>
    <row r="231" spans="1:9" ht="47.25" x14ac:dyDescent="0.25">
      <c r="A231" s="196">
        <v>42</v>
      </c>
      <c r="B231" s="197"/>
      <c r="C231" s="198"/>
      <c r="D231" s="83" t="s">
        <v>51</v>
      </c>
      <c r="E231" s="69"/>
      <c r="F231" s="70"/>
      <c r="G231" s="81">
        <v>9954</v>
      </c>
      <c r="H231" s="81">
        <v>0</v>
      </c>
      <c r="I231" s="82">
        <f t="shared" si="36"/>
        <v>0</v>
      </c>
    </row>
    <row r="232" spans="1:9" ht="47.25" x14ac:dyDescent="0.25">
      <c r="A232" s="199" t="s">
        <v>220</v>
      </c>
      <c r="B232" s="200"/>
      <c r="C232" s="201"/>
      <c r="D232" s="66" t="s">
        <v>221</v>
      </c>
      <c r="E232" s="68"/>
      <c r="F232" s="49"/>
      <c r="G232" s="67">
        <v>26545</v>
      </c>
      <c r="H232" s="67">
        <v>0</v>
      </c>
      <c r="I232" s="50">
        <f t="shared" si="36"/>
        <v>0</v>
      </c>
    </row>
    <row r="233" spans="1:9" ht="15.75" x14ac:dyDescent="0.25">
      <c r="A233" s="190" t="s">
        <v>144</v>
      </c>
      <c r="B233" s="191"/>
      <c r="C233" s="192"/>
      <c r="D233" s="80" t="s">
        <v>19</v>
      </c>
      <c r="E233" s="69"/>
      <c r="F233" s="70"/>
      <c r="G233" s="81">
        <v>5309</v>
      </c>
      <c r="H233" s="81">
        <v>0</v>
      </c>
      <c r="I233" s="82">
        <f t="shared" si="36"/>
        <v>0</v>
      </c>
    </row>
    <row r="234" spans="1:9" ht="31.5" x14ac:dyDescent="0.25">
      <c r="A234" s="193">
        <v>4</v>
      </c>
      <c r="B234" s="194"/>
      <c r="C234" s="195"/>
      <c r="D234" s="83" t="s">
        <v>142</v>
      </c>
      <c r="E234" s="69"/>
      <c r="F234" s="70"/>
      <c r="G234" s="81">
        <v>5309</v>
      </c>
      <c r="H234" s="81">
        <v>0</v>
      </c>
      <c r="I234" s="82">
        <f t="shared" si="36"/>
        <v>0</v>
      </c>
    </row>
    <row r="235" spans="1:9" ht="47.25" x14ac:dyDescent="0.25">
      <c r="A235" s="196">
        <v>42</v>
      </c>
      <c r="B235" s="197"/>
      <c r="C235" s="198"/>
      <c r="D235" s="83" t="s">
        <v>51</v>
      </c>
      <c r="E235" s="69"/>
      <c r="F235" s="70"/>
      <c r="G235" s="81">
        <v>5309</v>
      </c>
      <c r="H235" s="81">
        <v>0</v>
      </c>
      <c r="I235" s="82">
        <f t="shared" si="36"/>
        <v>0</v>
      </c>
    </row>
    <row r="236" spans="1:9" ht="15.75" x14ac:dyDescent="0.25">
      <c r="A236" s="190" t="s">
        <v>149</v>
      </c>
      <c r="B236" s="191"/>
      <c r="C236" s="192"/>
      <c r="D236" s="80" t="s">
        <v>152</v>
      </c>
      <c r="E236" s="69"/>
      <c r="F236" s="70"/>
      <c r="G236" s="81">
        <v>21236</v>
      </c>
      <c r="H236" s="81">
        <v>0</v>
      </c>
      <c r="I236" s="82">
        <f t="shared" si="36"/>
        <v>0</v>
      </c>
    </row>
    <row r="237" spans="1:9" ht="31.5" x14ac:dyDescent="0.25">
      <c r="A237" s="193">
        <v>4</v>
      </c>
      <c r="B237" s="194"/>
      <c r="C237" s="195"/>
      <c r="D237" s="83" t="s">
        <v>142</v>
      </c>
      <c r="E237" s="69"/>
      <c r="F237" s="70"/>
      <c r="G237" s="81">
        <v>21236</v>
      </c>
      <c r="H237" s="81">
        <v>0</v>
      </c>
      <c r="I237" s="82">
        <f t="shared" si="36"/>
        <v>0</v>
      </c>
    </row>
    <row r="238" spans="1:9" ht="47.25" x14ac:dyDescent="0.25">
      <c r="A238" s="196">
        <v>42</v>
      </c>
      <c r="B238" s="197"/>
      <c r="C238" s="198"/>
      <c r="D238" s="83" t="s">
        <v>153</v>
      </c>
      <c r="E238" s="69"/>
      <c r="F238" s="70"/>
      <c r="G238" s="81">
        <v>21236</v>
      </c>
      <c r="H238" s="81">
        <v>0</v>
      </c>
      <c r="I238" s="82">
        <f t="shared" si="36"/>
        <v>0</v>
      </c>
    </row>
    <row r="239" spans="1:9" ht="15.75" x14ac:dyDescent="0.25">
      <c r="A239" s="199" t="s">
        <v>222</v>
      </c>
      <c r="B239" s="200"/>
      <c r="C239" s="201"/>
      <c r="D239" s="66" t="s">
        <v>223</v>
      </c>
      <c r="E239" s="68"/>
      <c r="F239" s="49"/>
      <c r="G239" s="67">
        <v>19908</v>
      </c>
      <c r="H239" s="67">
        <v>30000</v>
      </c>
      <c r="I239" s="50">
        <f t="shared" si="36"/>
        <v>150.69318866787219</v>
      </c>
    </row>
    <row r="240" spans="1:9" ht="15.75" x14ac:dyDescent="0.25">
      <c r="A240" s="190" t="s">
        <v>144</v>
      </c>
      <c r="B240" s="191"/>
      <c r="C240" s="192"/>
      <c r="D240" s="80" t="s">
        <v>19</v>
      </c>
      <c r="E240" s="69"/>
      <c r="F240" s="70"/>
      <c r="G240" s="81">
        <v>4585</v>
      </c>
      <c r="H240" s="81">
        <f>H239*0.2</f>
        <v>6000</v>
      </c>
      <c r="I240" s="82">
        <f t="shared" si="36"/>
        <v>130.86150490730643</v>
      </c>
    </row>
    <row r="241" spans="1:9" ht="25.5" customHeight="1" x14ac:dyDescent="0.25">
      <c r="A241" s="193">
        <v>4</v>
      </c>
      <c r="B241" s="194"/>
      <c r="C241" s="195"/>
      <c r="D241" s="83" t="s">
        <v>142</v>
      </c>
      <c r="E241" s="69"/>
      <c r="F241" s="70"/>
      <c r="G241" s="81">
        <v>4585</v>
      </c>
      <c r="H241" s="81">
        <f>SUM(H240)</f>
        <v>6000</v>
      </c>
      <c r="I241" s="82">
        <f t="shared" si="36"/>
        <v>130.86150490730643</v>
      </c>
    </row>
    <row r="242" spans="1:9" ht="25.5" customHeight="1" x14ac:dyDescent="0.25">
      <c r="A242" s="196">
        <v>42</v>
      </c>
      <c r="B242" s="197"/>
      <c r="C242" s="198"/>
      <c r="D242" s="83" t="s">
        <v>51</v>
      </c>
      <c r="E242" s="69"/>
      <c r="F242" s="70"/>
      <c r="G242" s="81">
        <v>4585</v>
      </c>
      <c r="H242" s="81">
        <f>SUM(H241)</f>
        <v>6000</v>
      </c>
      <c r="I242" s="82">
        <f t="shared" si="36"/>
        <v>130.86150490730643</v>
      </c>
    </row>
    <row r="243" spans="1:9" ht="15.75" x14ac:dyDescent="0.25">
      <c r="A243" s="190" t="s">
        <v>149</v>
      </c>
      <c r="B243" s="191"/>
      <c r="C243" s="192"/>
      <c r="D243" s="80" t="s">
        <v>157</v>
      </c>
      <c r="E243" s="69"/>
      <c r="F243" s="70"/>
      <c r="G243" s="81">
        <f>G239-G240</f>
        <v>15323</v>
      </c>
      <c r="H243" s="81">
        <f>H239-H240</f>
        <v>24000</v>
      </c>
      <c r="I243" s="82">
        <f t="shared" si="36"/>
        <v>156.62729230568425</v>
      </c>
    </row>
    <row r="244" spans="1:9" ht="31.5" x14ac:dyDescent="0.25">
      <c r="A244" s="193">
        <v>4</v>
      </c>
      <c r="B244" s="194"/>
      <c r="C244" s="195"/>
      <c r="D244" s="83" t="s">
        <v>142</v>
      </c>
      <c r="E244" s="69"/>
      <c r="F244" s="70"/>
      <c r="G244" s="81">
        <v>15323</v>
      </c>
      <c r="H244" s="81">
        <f>SUM(H243)</f>
        <v>24000</v>
      </c>
      <c r="I244" s="82">
        <f t="shared" si="36"/>
        <v>156.62729230568425</v>
      </c>
    </row>
    <row r="245" spans="1:9" ht="47.25" x14ac:dyDescent="0.25">
      <c r="A245" s="196">
        <v>42</v>
      </c>
      <c r="B245" s="197"/>
      <c r="C245" s="198"/>
      <c r="D245" s="83" t="s">
        <v>51</v>
      </c>
      <c r="E245" s="69"/>
      <c r="F245" s="70"/>
      <c r="G245" s="81">
        <v>15323</v>
      </c>
      <c r="H245" s="81">
        <f>SUM(H244)</f>
        <v>24000</v>
      </c>
      <c r="I245" s="82">
        <f t="shared" si="36"/>
        <v>156.62729230568425</v>
      </c>
    </row>
    <row r="246" spans="1:9" ht="47.25" x14ac:dyDescent="0.25">
      <c r="A246" s="199" t="s">
        <v>224</v>
      </c>
      <c r="B246" s="200"/>
      <c r="C246" s="201"/>
      <c r="D246" s="66" t="s">
        <v>225</v>
      </c>
      <c r="E246" s="68"/>
      <c r="F246" s="49"/>
      <c r="G246" s="67">
        <v>464530</v>
      </c>
      <c r="H246" s="67">
        <v>150000</v>
      </c>
      <c r="I246" s="50">
        <f t="shared" si="36"/>
        <v>32.290702430413539</v>
      </c>
    </row>
    <row r="247" spans="1:9" ht="15.75" x14ac:dyDescent="0.25">
      <c r="A247" s="190" t="s">
        <v>154</v>
      </c>
      <c r="B247" s="191"/>
      <c r="C247" s="192"/>
      <c r="D247" s="80" t="s">
        <v>19</v>
      </c>
      <c r="E247" s="69"/>
      <c r="F247" s="70"/>
      <c r="G247" s="81">
        <v>16289.8</v>
      </c>
      <c r="H247" s="81">
        <f>H246*0.2</f>
        <v>30000</v>
      </c>
      <c r="I247" s="82">
        <f t="shared" si="36"/>
        <v>184.1643236872153</v>
      </c>
    </row>
    <row r="248" spans="1:9" ht="31.5" x14ac:dyDescent="0.25">
      <c r="A248" s="193">
        <v>4</v>
      </c>
      <c r="B248" s="194"/>
      <c r="C248" s="195"/>
      <c r="D248" s="83" t="s">
        <v>142</v>
      </c>
      <c r="E248" s="69"/>
      <c r="F248" s="70"/>
      <c r="G248" s="81">
        <v>16289.8</v>
      </c>
      <c r="H248" s="81">
        <f>SUM(H247)</f>
        <v>30000</v>
      </c>
      <c r="I248" s="82">
        <f t="shared" si="36"/>
        <v>184.1643236872153</v>
      </c>
    </row>
    <row r="249" spans="1:9" ht="47.25" x14ac:dyDescent="0.25">
      <c r="A249" s="196">
        <v>42</v>
      </c>
      <c r="B249" s="197"/>
      <c r="C249" s="198"/>
      <c r="D249" s="83" t="s">
        <v>51</v>
      </c>
      <c r="E249" s="69"/>
      <c r="F249" s="70"/>
      <c r="G249" s="81">
        <v>16289.8</v>
      </c>
      <c r="H249" s="81">
        <f>SUM(H248)</f>
        <v>30000</v>
      </c>
      <c r="I249" s="82">
        <f t="shared" si="36"/>
        <v>184.1643236872153</v>
      </c>
    </row>
    <row r="250" spans="1:9" ht="15.75" x14ac:dyDescent="0.25">
      <c r="A250" s="190" t="s">
        <v>155</v>
      </c>
      <c r="B250" s="191"/>
      <c r="C250" s="192"/>
      <c r="D250" s="80" t="s">
        <v>152</v>
      </c>
      <c r="E250" s="69"/>
      <c r="F250" s="70"/>
      <c r="G250" s="81">
        <f>G246-G247</f>
        <v>448240.2</v>
      </c>
      <c r="H250" s="81">
        <f>H246-H247</f>
        <v>120000</v>
      </c>
      <c r="I250" s="82">
        <f t="shared" si="36"/>
        <v>26.771360533928011</v>
      </c>
    </row>
    <row r="251" spans="1:9" ht="31.5" x14ac:dyDescent="0.25">
      <c r="A251" s="193">
        <v>4</v>
      </c>
      <c r="B251" s="194"/>
      <c r="C251" s="195"/>
      <c r="D251" s="83" t="s">
        <v>142</v>
      </c>
      <c r="E251" s="69"/>
      <c r="F251" s="70"/>
      <c r="G251" s="81">
        <v>448240</v>
      </c>
      <c r="H251" s="81">
        <f>SUM(H250)</f>
        <v>120000</v>
      </c>
      <c r="I251" s="82">
        <f t="shared" si="36"/>
        <v>26.771372479029093</v>
      </c>
    </row>
    <row r="252" spans="1:9" ht="47.25" x14ac:dyDescent="0.25">
      <c r="A252" s="196">
        <v>42</v>
      </c>
      <c r="B252" s="197"/>
      <c r="C252" s="198"/>
      <c r="D252" s="83" t="s">
        <v>153</v>
      </c>
      <c r="E252" s="69"/>
      <c r="F252" s="70"/>
      <c r="G252" s="81">
        <v>448240</v>
      </c>
      <c r="H252" s="81">
        <f>SUM(H251)</f>
        <v>120000</v>
      </c>
      <c r="I252" s="82">
        <f t="shared" si="36"/>
        <v>26.771372479029093</v>
      </c>
    </row>
    <row r="253" spans="1:9" ht="31.5" x14ac:dyDescent="0.25">
      <c r="A253" s="199" t="s">
        <v>227</v>
      </c>
      <c r="B253" s="200"/>
      <c r="C253" s="201"/>
      <c r="D253" s="66" t="s">
        <v>226</v>
      </c>
      <c r="E253" s="68"/>
      <c r="F253" s="49"/>
      <c r="G253" s="67">
        <v>106178</v>
      </c>
      <c r="H253" s="67">
        <v>50000</v>
      </c>
      <c r="I253" s="50">
        <f t="shared" si="36"/>
        <v>47.090734427094127</v>
      </c>
    </row>
    <row r="254" spans="1:9" ht="15.75" x14ac:dyDescent="0.25">
      <c r="A254" s="190" t="s">
        <v>144</v>
      </c>
      <c r="B254" s="191"/>
      <c r="C254" s="192"/>
      <c r="D254" s="80" t="s">
        <v>19</v>
      </c>
      <c r="E254" s="69"/>
      <c r="F254" s="70"/>
      <c r="G254" s="81">
        <v>10617.8</v>
      </c>
      <c r="H254" s="81">
        <f>H253*0.1</f>
        <v>5000</v>
      </c>
      <c r="I254" s="82">
        <f t="shared" si="36"/>
        <v>47.090734427094127</v>
      </c>
    </row>
    <row r="255" spans="1:9" ht="31.5" x14ac:dyDescent="0.25">
      <c r="A255" s="193">
        <v>4</v>
      </c>
      <c r="B255" s="194"/>
      <c r="C255" s="195"/>
      <c r="D255" s="83" t="s">
        <v>142</v>
      </c>
      <c r="E255" s="69"/>
      <c r="F255" s="70"/>
      <c r="G255" s="81">
        <v>10617.8</v>
      </c>
      <c r="H255" s="81">
        <f>SUM(H254)</f>
        <v>5000</v>
      </c>
      <c r="I255" s="82">
        <f t="shared" si="36"/>
        <v>47.090734427094127</v>
      </c>
    </row>
    <row r="256" spans="1:9" ht="47.25" x14ac:dyDescent="0.25">
      <c r="A256" s="196">
        <v>42</v>
      </c>
      <c r="B256" s="197"/>
      <c r="C256" s="198"/>
      <c r="D256" s="83" t="s">
        <v>51</v>
      </c>
      <c r="E256" s="69"/>
      <c r="F256" s="70"/>
      <c r="G256" s="81">
        <v>10617.8</v>
      </c>
      <c r="H256" s="81">
        <f>SUM(H255)</f>
        <v>5000</v>
      </c>
      <c r="I256" s="82">
        <f t="shared" si="36"/>
        <v>47.090734427094127</v>
      </c>
    </row>
    <row r="257" spans="1:9" ht="15.75" x14ac:dyDescent="0.25">
      <c r="A257" s="190" t="s">
        <v>149</v>
      </c>
      <c r="B257" s="191"/>
      <c r="C257" s="192"/>
      <c r="D257" s="80" t="s">
        <v>152</v>
      </c>
      <c r="E257" s="69"/>
      <c r="F257" s="70"/>
      <c r="G257" s="81">
        <v>95560.2</v>
      </c>
      <c r="H257" s="81">
        <f>H253-H254</f>
        <v>45000</v>
      </c>
      <c r="I257" s="82">
        <f t="shared" si="36"/>
        <v>47.090734427094127</v>
      </c>
    </row>
    <row r="258" spans="1:9" ht="31.5" x14ac:dyDescent="0.25">
      <c r="A258" s="193">
        <v>4</v>
      </c>
      <c r="B258" s="194"/>
      <c r="C258" s="195"/>
      <c r="D258" s="83" t="s">
        <v>142</v>
      </c>
      <c r="E258" s="69"/>
      <c r="F258" s="70"/>
      <c r="G258" s="81">
        <v>95560.2</v>
      </c>
      <c r="H258" s="81">
        <f>SUM(H257)</f>
        <v>45000</v>
      </c>
      <c r="I258" s="82">
        <f t="shared" si="36"/>
        <v>47.090734427094127</v>
      </c>
    </row>
    <row r="259" spans="1:9" ht="47.25" x14ac:dyDescent="0.25">
      <c r="A259" s="196">
        <v>42</v>
      </c>
      <c r="B259" s="197"/>
      <c r="C259" s="198"/>
      <c r="D259" s="83" t="s">
        <v>153</v>
      </c>
      <c r="E259" s="69"/>
      <c r="F259" s="70"/>
      <c r="G259" s="81">
        <v>95560.2</v>
      </c>
      <c r="H259" s="81">
        <f>SUM(H258)</f>
        <v>45000</v>
      </c>
      <c r="I259" s="82">
        <f t="shared" si="36"/>
        <v>47.090734427094127</v>
      </c>
    </row>
    <row r="260" spans="1:9" ht="31.5" x14ac:dyDescent="0.25">
      <c r="A260" s="199" t="s">
        <v>228</v>
      </c>
      <c r="B260" s="200"/>
      <c r="C260" s="201"/>
      <c r="D260" s="66" t="s">
        <v>229</v>
      </c>
      <c r="E260" s="68"/>
      <c r="F260" s="49"/>
      <c r="G260" s="67">
        <v>3982</v>
      </c>
      <c r="H260" s="67">
        <v>0</v>
      </c>
      <c r="I260" s="50">
        <f t="shared" si="36"/>
        <v>0</v>
      </c>
    </row>
    <row r="261" spans="1:9" ht="15.75" x14ac:dyDescent="0.25">
      <c r="A261" s="190" t="s">
        <v>144</v>
      </c>
      <c r="B261" s="191"/>
      <c r="C261" s="192"/>
      <c r="D261" s="80" t="s">
        <v>156</v>
      </c>
      <c r="E261" s="69"/>
      <c r="F261" s="70"/>
      <c r="G261" s="81">
        <v>1991</v>
      </c>
      <c r="H261" s="81">
        <v>0</v>
      </c>
      <c r="I261" s="82">
        <f t="shared" si="36"/>
        <v>0</v>
      </c>
    </row>
    <row r="262" spans="1:9" ht="31.5" x14ac:dyDescent="0.25">
      <c r="A262" s="193">
        <v>4</v>
      </c>
      <c r="B262" s="194"/>
      <c r="C262" s="195"/>
      <c r="D262" s="83" t="s">
        <v>142</v>
      </c>
      <c r="E262" s="69"/>
      <c r="F262" s="70"/>
      <c r="G262" s="81">
        <v>1991</v>
      </c>
      <c r="H262" s="81">
        <v>0</v>
      </c>
      <c r="I262" s="82">
        <f t="shared" si="36"/>
        <v>0</v>
      </c>
    </row>
    <row r="263" spans="1:9" ht="47.25" x14ac:dyDescent="0.25">
      <c r="A263" s="196">
        <v>42</v>
      </c>
      <c r="B263" s="197"/>
      <c r="C263" s="198"/>
      <c r="D263" s="83" t="s">
        <v>51</v>
      </c>
      <c r="E263" s="69"/>
      <c r="F263" s="70"/>
      <c r="G263" s="81">
        <v>1991</v>
      </c>
      <c r="H263" s="81">
        <v>0</v>
      </c>
      <c r="I263" s="82">
        <f t="shared" si="36"/>
        <v>0</v>
      </c>
    </row>
    <row r="264" spans="1:9" ht="15.75" x14ac:dyDescent="0.25">
      <c r="A264" s="190" t="s">
        <v>149</v>
      </c>
      <c r="B264" s="191"/>
      <c r="C264" s="192"/>
      <c r="D264" s="80" t="s">
        <v>157</v>
      </c>
      <c r="E264" s="69"/>
      <c r="F264" s="70"/>
      <c r="G264" s="81">
        <v>1991</v>
      </c>
      <c r="H264" s="81">
        <v>0</v>
      </c>
      <c r="I264" s="82">
        <f t="shared" ref="I264:I327" si="37">H264/G264*$I$2</f>
        <v>0</v>
      </c>
    </row>
    <row r="265" spans="1:9" ht="31.5" x14ac:dyDescent="0.25">
      <c r="A265" s="193">
        <v>4</v>
      </c>
      <c r="B265" s="194"/>
      <c r="C265" s="195"/>
      <c r="D265" s="83" t="s">
        <v>142</v>
      </c>
      <c r="E265" s="69"/>
      <c r="F265" s="70"/>
      <c r="G265" s="81">
        <v>1991</v>
      </c>
      <c r="H265" s="81">
        <v>0</v>
      </c>
      <c r="I265" s="82">
        <f t="shared" si="37"/>
        <v>0</v>
      </c>
    </row>
    <row r="266" spans="1:9" ht="47.25" x14ac:dyDescent="0.25">
      <c r="A266" s="196">
        <v>42</v>
      </c>
      <c r="B266" s="197"/>
      <c r="C266" s="198"/>
      <c r="D266" s="83" t="s">
        <v>51</v>
      </c>
      <c r="E266" s="69"/>
      <c r="F266" s="70"/>
      <c r="G266" s="81">
        <v>1991</v>
      </c>
      <c r="H266" s="81">
        <v>0</v>
      </c>
      <c r="I266" s="82">
        <f t="shared" si="37"/>
        <v>0</v>
      </c>
    </row>
    <row r="267" spans="1:9" ht="15.75" x14ac:dyDescent="0.25">
      <c r="A267" s="199" t="s">
        <v>230</v>
      </c>
      <c r="B267" s="200"/>
      <c r="C267" s="201"/>
      <c r="D267" s="66" t="s">
        <v>231</v>
      </c>
      <c r="E267" s="68"/>
      <c r="F267" s="49"/>
      <c r="G267" s="67">
        <v>6636</v>
      </c>
      <c r="H267" s="67">
        <v>20000</v>
      </c>
      <c r="I267" s="50">
        <f t="shared" si="37"/>
        <v>301.38637733574438</v>
      </c>
    </row>
    <row r="268" spans="1:9" ht="15.75" x14ac:dyDescent="0.25">
      <c r="A268" s="190" t="s">
        <v>144</v>
      </c>
      <c r="B268" s="191"/>
      <c r="C268" s="192"/>
      <c r="D268" s="80" t="s">
        <v>156</v>
      </c>
      <c r="E268" s="69"/>
      <c r="F268" s="70"/>
      <c r="G268" s="81">
        <v>3318</v>
      </c>
      <c r="H268" s="81">
        <f>H267*0.5</f>
        <v>10000</v>
      </c>
      <c r="I268" s="82">
        <f t="shared" si="37"/>
        <v>301.38637733574438</v>
      </c>
    </row>
    <row r="269" spans="1:9" ht="31.5" x14ac:dyDescent="0.25">
      <c r="A269" s="193">
        <v>4</v>
      </c>
      <c r="B269" s="194"/>
      <c r="C269" s="195"/>
      <c r="D269" s="83" t="s">
        <v>142</v>
      </c>
      <c r="E269" s="69"/>
      <c r="F269" s="70"/>
      <c r="G269" s="81">
        <v>3318</v>
      </c>
      <c r="H269" s="81">
        <f>SUM(H268)</f>
        <v>10000</v>
      </c>
      <c r="I269" s="82">
        <f t="shared" si="37"/>
        <v>301.38637733574438</v>
      </c>
    </row>
    <row r="270" spans="1:9" ht="47.25" x14ac:dyDescent="0.25">
      <c r="A270" s="196">
        <v>42</v>
      </c>
      <c r="B270" s="197"/>
      <c r="C270" s="198"/>
      <c r="D270" s="83" t="s">
        <v>51</v>
      </c>
      <c r="E270" s="69"/>
      <c r="F270" s="70"/>
      <c r="G270" s="81">
        <v>3318</v>
      </c>
      <c r="H270" s="81">
        <f>SUM(H269)</f>
        <v>10000</v>
      </c>
      <c r="I270" s="82">
        <f t="shared" si="37"/>
        <v>301.38637733574438</v>
      </c>
    </row>
    <row r="271" spans="1:9" ht="15.75" x14ac:dyDescent="0.25">
      <c r="A271" s="190" t="s">
        <v>149</v>
      </c>
      <c r="B271" s="191"/>
      <c r="C271" s="192"/>
      <c r="D271" s="80" t="s">
        <v>157</v>
      </c>
      <c r="E271" s="69"/>
      <c r="F271" s="70"/>
      <c r="G271" s="81">
        <v>3318</v>
      </c>
      <c r="H271" s="81">
        <f>H267-H268</f>
        <v>10000</v>
      </c>
      <c r="I271" s="82">
        <f t="shared" si="37"/>
        <v>301.38637733574438</v>
      </c>
    </row>
    <row r="272" spans="1:9" ht="31.5" x14ac:dyDescent="0.25">
      <c r="A272" s="193">
        <v>4</v>
      </c>
      <c r="B272" s="194"/>
      <c r="C272" s="195"/>
      <c r="D272" s="83" t="s">
        <v>142</v>
      </c>
      <c r="E272" s="69"/>
      <c r="F272" s="70"/>
      <c r="G272" s="81">
        <v>3318</v>
      </c>
      <c r="H272" s="81">
        <f>SUM(H271)</f>
        <v>10000</v>
      </c>
      <c r="I272" s="82">
        <f t="shared" si="37"/>
        <v>301.38637733574438</v>
      </c>
    </row>
    <row r="273" spans="1:9" ht="47.25" x14ac:dyDescent="0.25">
      <c r="A273" s="196">
        <v>42</v>
      </c>
      <c r="B273" s="197"/>
      <c r="C273" s="198"/>
      <c r="D273" s="83" t="s">
        <v>51</v>
      </c>
      <c r="E273" s="69"/>
      <c r="F273" s="70"/>
      <c r="G273" s="81">
        <v>3318</v>
      </c>
      <c r="H273" s="81">
        <f>SUM(H272)</f>
        <v>10000</v>
      </c>
      <c r="I273" s="82">
        <f t="shared" si="37"/>
        <v>301.38637733574438</v>
      </c>
    </row>
    <row r="274" spans="1:9" ht="78.75" x14ac:dyDescent="0.25">
      <c r="A274" s="199" t="s">
        <v>256</v>
      </c>
      <c r="B274" s="200"/>
      <c r="C274" s="201"/>
      <c r="D274" s="66" t="s">
        <v>278</v>
      </c>
      <c r="E274" s="68"/>
      <c r="F274" s="49"/>
      <c r="G274" s="67">
        <v>13272</v>
      </c>
      <c r="H274" s="67">
        <v>30000</v>
      </c>
      <c r="I274" s="50">
        <f t="shared" si="37"/>
        <v>226.03978300180833</v>
      </c>
    </row>
    <row r="275" spans="1:9" ht="15" customHeight="1" x14ac:dyDescent="0.25">
      <c r="A275" s="190" t="s">
        <v>144</v>
      </c>
      <c r="B275" s="191"/>
      <c r="C275" s="192"/>
      <c r="D275" s="80" t="s">
        <v>156</v>
      </c>
      <c r="E275" s="69"/>
      <c r="F275" s="70"/>
      <c r="G275" s="81">
        <v>6636</v>
      </c>
      <c r="H275" s="81">
        <f>H274*0.2</f>
        <v>6000</v>
      </c>
      <c r="I275" s="82">
        <f t="shared" si="37"/>
        <v>90.415913200723324</v>
      </c>
    </row>
    <row r="276" spans="1:9" ht="31.5" x14ac:dyDescent="0.25">
      <c r="A276" s="193">
        <v>4</v>
      </c>
      <c r="B276" s="194"/>
      <c r="C276" s="195"/>
      <c r="D276" s="83" t="s">
        <v>142</v>
      </c>
      <c r="E276" s="69"/>
      <c r="F276" s="70"/>
      <c r="G276" s="81">
        <v>6636</v>
      </c>
      <c r="H276" s="81">
        <f>SUM(H275)</f>
        <v>6000</v>
      </c>
      <c r="I276" s="82">
        <f t="shared" si="37"/>
        <v>90.415913200723324</v>
      </c>
    </row>
    <row r="277" spans="1:9" ht="47.25" x14ac:dyDescent="0.25">
      <c r="A277" s="196">
        <v>42</v>
      </c>
      <c r="B277" s="197"/>
      <c r="C277" s="198"/>
      <c r="D277" s="83" t="s">
        <v>51</v>
      </c>
      <c r="E277" s="69"/>
      <c r="F277" s="70"/>
      <c r="G277" s="81">
        <v>6636</v>
      </c>
      <c r="H277" s="81">
        <f>SUM(H276)</f>
        <v>6000</v>
      </c>
      <c r="I277" s="82">
        <f t="shared" si="37"/>
        <v>90.415913200723324</v>
      </c>
    </row>
    <row r="278" spans="1:9" ht="15.75" x14ac:dyDescent="0.25">
      <c r="A278" s="190" t="s">
        <v>149</v>
      </c>
      <c r="B278" s="191"/>
      <c r="C278" s="192"/>
      <c r="D278" s="80" t="s">
        <v>157</v>
      </c>
      <c r="E278" s="69"/>
      <c r="F278" s="70"/>
      <c r="G278" s="81">
        <v>6636</v>
      </c>
      <c r="H278" s="81">
        <f>H274-H275</f>
        <v>24000</v>
      </c>
      <c r="I278" s="82">
        <f t="shared" si="37"/>
        <v>361.6636528028933</v>
      </c>
    </row>
    <row r="279" spans="1:9" ht="31.5" x14ac:dyDescent="0.25">
      <c r="A279" s="193">
        <v>4</v>
      </c>
      <c r="B279" s="194"/>
      <c r="C279" s="195"/>
      <c r="D279" s="83" t="s">
        <v>142</v>
      </c>
      <c r="E279" s="69"/>
      <c r="F279" s="70"/>
      <c r="G279" s="81">
        <v>6636</v>
      </c>
      <c r="H279" s="81">
        <f>SUM(H278)</f>
        <v>24000</v>
      </c>
      <c r="I279" s="82">
        <f t="shared" si="37"/>
        <v>361.6636528028933</v>
      </c>
    </row>
    <row r="280" spans="1:9" ht="47.25" x14ac:dyDescent="0.25">
      <c r="A280" s="196">
        <v>42</v>
      </c>
      <c r="B280" s="197"/>
      <c r="C280" s="198"/>
      <c r="D280" s="83" t="s">
        <v>51</v>
      </c>
      <c r="E280" s="69"/>
      <c r="F280" s="70"/>
      <c r="G280" s="81">
        <v>6636</v>
      </c>
      <c r="H280" s="81">
        <f>SUM(H279)</f>
        <v>24000</v>
      </c>
      <c r="I280" s="82">
        <f t="shared" si="37"/>
        <v>361.6636528028933</v>
      </c>
    </row>
    <row r="281" spans="1:9" ht="31.5" x14ac:dyDescent="0.25">
      <c r="A281" s="199" t="s">
        <v>257</v>
      </c>
      <c r="B281" s="200"/>
      <c r="C281" s="201"/>
      <c r="D281" s="66" t="s">
        <v>258</v>
      </c>
      <c r="E281" s="68"/>
      <c r="F281" s="49"/>
      <c r="G281" s="67">
        <v>13272</v>
      </c>
      <c r="H281" s="67">
        <v>20000</v>
      </c>
      <c r="I281" s="50">
        <f t="shared" si="37"/>
        <v>150.69318866787219</v>
      </c>
    </row>
    <row r="282" spans="1:9" ht="15" customHeight="1" x14ac:dyDescent="0.25">
      <c r="A282" s="190" t="s">
        <v>144</v>
      </c>
      <c r="B282" s="191"/>
      <c r="C282" s="192"/>
      <c r="D282" s="80" t="s">
        <v>156</v>
      </c>
      <c r="E282" s="69"/>
      <c r="F282" s="70"/>
      <c r="G282" s="81">
        <v>3981.6</v>
      </c>
      <c r="H282" s="81">
        <f>H281*0.2</f>
        <v>4000</v>
      </c>
      <c r="I282" s="82">
        <f t="shared" si="37"/>
        <v>100.46212577858147</v>
      </c>
    </row>
    <row r="283" spans="1:9" ht="31.5" x14ac:dyDescent="0.25">
      <c r="A283" s="193">
        <v>4</v>
      </c>
      <c r="B283" s="194"/>
      <c r="C283" s="195"/>
      <c r="D283" s="83" t="s">
        <v>142</v>
      </c>
      <c r="E283" s="69"/>
      <c r="F283" s="70"/>
      <c r="G283" s="81">
        <v>3981.6</v>
      </c>
      <c r="H283" s="81">
        <f>SUM(H282)</f>
        <v>4000</v>
      </c>
      <c r="I283" s="82">
        <f t="shared" si="37"/>
        <v>100.46212577858147</v>
      </c>
    </row>
    <row r="284" spans="1:9" ht="47.25" x14ac:dyDescent="0.25">
      <c r="A284" s="196">
        <v>42</v>
      </c>
      <c r="B284" s="197"/>
      <c r="C284" s="198"/>
      <c r="D284" s="83" t="s">
        <v>51</v>
      </c>
      <c r="E284" s="69"/>
      <c r="F284" s="70"/>
      <c r="G284" s="81">
        <v>3981.6</v>
      </c>
      <c r="H284" s="81">
        <f>SUM(H283)</f>
        <v>4000</v>
      </c>
      <c r="I284" s="82">
        <f t="shared" si="37"/>
        <v>100.46212577858147</v>
      </c>
    </row>
    <row r="285" spans="1:9" ht="15" customHeight="1" x14ac:dyDescent="0.25">
      <c r="A285" s="190" t="s">
        <v>149</v>
      </c>
      <c r="B285" s="191"/>
      <c r="C285" s="192"/>
      <c r="D285" s="80" t="s">
        <v>157</v>
      </c>
      <c r="E285" s="69"/>
      <c r="F285" s="70"/>
      <c r="G285" s="81">
        <v>9290.4</v>
      </c>
      <c r="H285" s="81">
        <f>H281-H282</f>
        <v>16000</v>
      </c>
      <c r="I285" s="82">
        <f t="shared" si="37"/>
        <v>172.22078704899681</v>
      </c>
    </row>
    <row r="286" spans="1:9" ht="31.5" x14ac:dyDescent="0.25">
      <c r="A286" s="193">
        <v>4</v>
      </c>
      <c r="B286" s="194"/>
      <c r="C286" s="195"/>
      <c r="D286" s="83" t="s">
        <v>142</v>
      </c>
      <c r="E286" s="69"/>
      <c r="F286" s="70"/>
      <c r="G286" s="81">
        <v>9290.4</v>
      </c>
      <c r="H286" s="81">
        <f>SUM(H285)</f>
        <v>16000</v>
      </c>
      <c r="I286" s="82">
        <f t="shared" si="37"/>
        <v>172.22078704899681</v>
      </c>
    </row>
    <row r="287" spans="1:9" ht="47.25" x14ac:dyDescent="0.25">
      <c r="A287" s="196">
        <v>42</v>
      </c>
      <c r="B287" s="197"/>
      <c r="C287" s="198"/>
      <c r="D287" s="83" t="s">
        <v>51</v>
      </c>
      <c r="E287" s="69"/>
      <c r="F287" s="70"/>
      <c r="G287" s="81">
        <v>9290.4</v>
      </c>
      <c r="H287" s="81">
        <f>SUM(H286)</f>
        <v>16000</v>
      </c>
      <c r="I287" s="82">
        <f t="shared" si="37"/>
        <v>172.22078704899681</v>
      </c>
    </row>
    <row r="288" spans="1:9" ht="31.5" x14ac:dyDescent="0.25">
      <c r="A288" s="202" t="s">
        <v>232</v>
      </c>
      <c r="B288" s="203"/>
      <c r="C288" s="204"/>
      <c r="D288" s="64" t="s">
        <v>233</v>
      </c>
      <c r="E288" s="71"/>
      <c r="F288" s="46"/>
      <c r="G288" s="65">
        <f>SUM(G289,G293)</f>
        <v>15927</v>
      </c>
      <c r="H288" s="65">
        <f>SUM(H289,H293)</f>
        <v>12000</v>
      </c>
      <c r="I288" s="47">
        <f t="shared" si="37"/>
        <v>75.343755886230923</v>
      </c>
    </row>
    <row r="289" spans="1:9" ht="78.75" x14ac:dyDescent="0.25">
      <c r="A289" s="199" t="s">
        <v>234</v>
      </c>
      <c r="B289" s="200"/>
      <c r="C289" s="201"/>
      <c r="D289" s="66" t="s">
        <v>235</v>
      </c>
      <c r="E289" s="68"/>
      <c r="F289" s="49"/>
      <c r="G289" s="67">
        <v>6636</v>
      </c>
      <c r="H289" s="67">
        <v>2000</v>
      </c>
      <c r="I289" s="50">
        <f t="shared" si="37"/>
        <v>30.138637733574441</v>
      </c>
    </row>
    <row r="290" spans="1:9" ht="15.75" x14ac:dyDescent="0.25">
      <c r="A290" s="190" t="s">
        <v>149</v>
      </c>
      <c r="B290" s="191"/>
      <c r="C290" s="192"/>
      <c r="D290" s="80" t="s">
        <v>19</v>
      </c>
      <c r="E290" s="69"/>
      <c r="F290" s="70"/>
      <c r="G290" s="81">
        <v>6636</v>
      </c>
      <c r="H290" s="81">
        <f>SUM(H289)</f>
        <v>2000</v>
      </c>
      <c r="I290" s="82">
        <f t="shared" si="37"/>
        <v>30.138637733574441</v>
      </c>
    </row>
    <row r="291" spans="1:9" ht="15.75" x14ac:dyDescent="0.25">
      <c r="A291" s="193">
        <v>3</v>
      </c>
      <c r="B291" s="194"/>
      <c r="C291" s="195"/>
      <c r="D291" s="83" t="s">
        <v>98</v>
      </c>
      <c r="E291" s="69"/>
      <c r="F291" s="70"/>
      <c r="G291" s="81">
        <v>6636</v>
      </c>
      <c r="H291" s="81">
        <f t="shared" ref="H291:H292" si="38">SUM(H290)</f>
        <v>2000</v>
      </c>
      <c r="I291" s="82">
        <f t="shared" si="37"/>
        <v>30.138637733574441</v>
      </c>
    </row>
    <row r="292" spans="1:9" ht="15.75" x14ac:dyDescent="0.25">
      <c r="A292" s="196">
        <v>32</v>
      </c>
      <c r="B292" s="197"/>
      <c r="C292" s="198"/>
      <c r="D292" s="83" t="s">
        <v>106</v>
      </c>
      <c r="E292" s="69"/>
      <c r="F292" s="70"/>
      <c r="G292" s="81">
        <v>6636</v>
      </c>
      <c r="H292" s="81">
        <f t="shared" si="38"/>
        <v>2000</v>
      </c>
      <c r="I292" s="82">
        <f t="shared" si="37"/>
        <v>30.138637733574441</v>
      </c>
    </row>
    <row r="293" spans="1:9" ht="31.5" x14ac:dyDescent="0.25">
      <c r="A293" s="199" t="s">
        <v>236</v>
      </c>
      <c r="B293" s="200"/>
      <c r="C293" s="201"/>
      <c r="D293" s="66" t="s">
        <v>237</v>
      </c>
      <c r="E293" s="68"/>
      <c r="F293" s="49"/>
      <c r="G293" s="67">
        <v>9291</v>
      </c>
      <c r="H293" s="67">
        <v>10000</v>
      </c>
      <c r="I293" s="50">
        <f t="shared" si="37"/>
        <v>107.63104079216446</v>
      </c>
    </row>
    <row r="294" spans="1:9" ht="15.75" x14ac:dyDescent="0.25">
      <c r="A294" s="190" t="s">
        <v>144</v>
      </c>
      <c r="B294" s="191"/>
      <c r="C294" s="192"/>
      <c r="D294" s="80" t="s">
        <v>156</v>
      </c>
      <c r="E294" s="69"/>
      <c r="F294" s="70"/>
      <c r="G294" s="81">
        <v>3125</v>
      </c>
      <c r="H294" s="81">
        <f>H293*0.2</f>
        <v>2000</v>
      </c>
      <c r="I294" s="82">
        <f t="shared" si="37"/>
        <v>64</v>
      </c>
    </row>
    <row r="295" spans="1:9" ht="15.75" x14ac:dyDescent="0.25">
      <c r="A295" s="193">
        <v>3</v>
      </c>
      <c r="B295" s="194"/>
      <c r="C295" s="195"/>
      <c r="D295" s="83" t="s">
        <v>98</v>
      </c>
      <c r="E295" s="69"/>
      <c r="F295" s="70"/>
      <c r="G295" s="81">
        <v>3125</v>
      </c>
      <c r="H295" s="81">
        <f>SUM(H294)</f>
        <v>2000</v>
      </c>
      <c r="I295" s="82">
        <f t="shared" si="37"/>
        <v>64</v>
      </c>
    </row>
    <row r="296" spans="1:9" ht="15.75" x14ac:dyDescent="0.25">
      <c r="A296" s="196">
        <v>38</v>
      </c>
      <c r="B296" s="197"/>
      <c r="C296" s="198"/>
      <c r="D296" s="83" t="s">
        <v>137</v>
      </c>
      <c r="E296" s="69"/>
      <c r="F296" s="70"/>
      <c r="G296" s="81">
        <v>3125</v>
      </c>
      <c r="H296" s="81">
        <f>SUM(H295)</f>
        <v>2000</v>
      </c>
      <c r="I296" s="82">
        <f t="shared" si="37"/>
        <v>64</v>
      </c>
    </row>
    <row r="297" spans="1:9" ht="15.75" x14ac:dyDescent="0.25">
      <c r="A297" s="190" t="s">
        <v>149</v>
      </c>
      <c r="B297" s="191"/>
      <c r="C297" s="192"/>
      <c r="D297" s="80" t="s">
        <v>157</v>
      </c>
      <c r="E297" s="69"/>
      <c r="F297" s="70"/>
      <c r="G297" s="81">
        <f>G293-G294</f>
        <v>6166</v>
      </c>
      <c r="H297" s="81">
        <f>H293-H294</f>
        <v>8000</v>
      </c>
      <c r="I297" s="82">
        <f t="shared" si="37"/>
        <v>129.74375608173855</v>
      </c>
    </row>
    <row r="298" spans="1:9" ht="15.75" x14ac:dyDescent="0.25">
      <c r="A298" s="193">
        <v>3</v>
      </c>
      <c r="B298" s="194"/>
      <c r="C298" s="195"/>
      <c r="D298" s="83" t="s">
        <v>98</v>
      </c>
      <c r="E298" s="69"/>
      <c r="F298" s="70"/>
      <c r="G298" s="81">
        <v>6166</v>
      </c>
      <c r="H298" s="81">
        <f>SUM(H297)</f>
        <v>8000</v>
      </c>
      <c r="I298" s="82">
        <f t="shared" si="37"/>
        <v>129.74375608173855</v>
      </c>
    </row>
    <row r="299" spans="1:9" ht="15.75" x14ac:dyDescent="0.25">
      <c r="A299" s="196">
        <v>38</v>
      </c>
      <c r="B299" s="197"/>
      <c r="C299" s="198"/>
      <c r="D299" s="83" t="s">
        <v>137</v>
      </c>
      <c r="E299" s="69"/>
      <c r="F299" s="70"/>
      <c r="G299" s="81">
        <v>6166</v>
      </c>
      <c r="H299" s="81">
        <f>SUM(H298)</f>
        <v>8000</v>
      </c>
      <c r="I299" s="82">
        <f t="shared" si="37"/>
        <v>129.74375608173855</v>
      </c>
    </row>
    <row r="300" spans="1:9" ht="31.5" x14ac:dyDescent="0.25">
      <c r="A300" s="202" t="s">
        <v>238</v>
      </c>
      <c r="B300" s="203"/>
      <c r="C300" s="204"/>
      <c r="D300" s="64" t="s">
        <v>239</v>
      </c>
      <c r="E300" s="71"/>
      <c r="F300" s="46"/>
      <c r="G300" s="65">
        <f>SUM(G301,G305,G309,G313,G317,G321)</f>
        <v>54416</v>
      </c>
      <c r="H300" s="65">
        <f t="shared" ref="H300" si="39">SUM(H301,H305,H309,H313,H317,H321)</f>
        <v>43500</v>
      </c>
      <c r="I300" s="47">
        <f t="shared" si="37"/>
        <v>79.939723610702742</v>
      </c>
    </row>
    <row r="301" spans="1:9" ht="15.75" x14ac:dyDescent="0.25">
      <c r="A301" s="199" t="s">
        <v>241</v>
      </c>
      <c r="B301" s="200"/>
      <c r="C301" s="201"/>
      <c r="D301" s="66" t="s">
        <v>242</v>
      </c>
      <c r="E301" s="68"/>
      <c r="F301" s="49"/>
      <c r="G301" s="67">
        <v>6636</v>
      </c>
      <c r="H301" s="67">
        <v>7000</v>
      </c>
      <c r="I301" s="50">
        <f t="shared" si="37"/>
        <v>105.48523206751055</v>
      </c>
    </row>
    <row r="302" spans="1:9" ht="15.75" x14ac:dyDescent="0.25">
      <c r="A302" s="190" t="s">
        <v>149</v>
      </c>
      <c r="B302" s="191"/>
      <c r="C302" s="192"/>
      <c r="D302" s="80" t="s">
        <v>157</v>
      </c>
      <c r="E302" s="69"/>
      <c r="F302" s="70"/>
      <c r="G302" s="81">
        <v>6636</v>
      </c>
      <c r="H302" s="81">
        <f>SUM(H301)</f>
        <v>7000</v>
      </c>
      <c r="I302" s="82">
        <f t="shared" si="37"/>
        <v>105.48523206751055</v>
      </c>
    </row>
    <row r="303" spans="1:9" ht="15.75" x14ac:dyDescent="0.25">
      <c r="A303" s="193">
        <v>3</v>
      </c>
      <c r="B303" s="194"/>
      <c r="C303" s="195"/>
      <c r="D303" s="83" t="s">
        <v>98</v>
      </c>
      <c r="E303" s="69"/>
      <c r="F303" s="70"/>
      <c r="G303" s="81">
        <v>6636</v>
      </c>
      <c r="H303" s="81">
        <f t="shared" ref="H303:H304" si="40">SUM(H302)</f>
        <v>7000</v>
      </c>
      <c r="I303" s="82">
        <f t="shared" si="37"/>
        <v>105.48523206751055</v>
      </c>
    </row>
    <row r="304" spans="1:9" ht="15.75" x14ac:dyDescent="0.25">
      <c r="A304" s="196">
        <v>32</v>
      </c>
      <c r="B304" s="197"/>
      <c r="C304" s="198"/>
      <c r="D304" s="83" t="s">
        <v>106</v>
      </c>
      <c r="E304" s="69"/>
      <c r="F304" s="70"/>
      <c r="G304" s="81">
        <v>6636</v>
      </c>
      <c r="H304" s="81">
        <f t="shared" si="40"/>
        <v>7000</v>
      </c>
      <c r="I304" s="82">
        <f t="shared" si="37"/>
        <v>105.48523206751055</v>
      </c>
    </row>
    <row r="305" spans="1:9" ht="31.5" x14ac:dyDescent="0.25">
      <c r="A305" s="199" t="s">
        <v>243</v>
      </c>
      <c r="B305" s="200"/>
      <c r="C305" s="201"/>
      <c r="D305" s="66" t="s">
        <v>244</v>
      </c>
      <c r="E305" s="68"/>
      <c r="F305" s="49"/>
      <c r="G305" s="67">
        <v>2654</v>
      </c>
      <c r="H305" s="67">
        <v>2500</v>
      </c>
      <c r="I305" s="50">
        <f t="shared" si="37"/>
        <v>94.19743782969104</v>
      </c>
    </row>
    <row r="306" spans="1:9" ht="15.75" x14ac:dyDescent="0.25">
      <c r="A306" s="190" t="s">
        <v>149</v>
      </c>
      <c r="B306" s="191"/>
      <c r="C306" s="192"/>
      <c r="D306" s="80" t="s">
        <v>157</v>
      </c>
      <c r="E306" s="69"/>
      <c r="F306" s="70"/>
      <c r="G306" s="81">
        <v>2645</v>
      </c>
      <c r="H306" s="81">
        <f>SUM(H305)</f>
        <v>2500</v>
      </c>
      <c r="I306" s="82">
        <f t="shared" si="37"/>
        <v>94.517958412098295</v>
      </c>
    </row>
    <row r="307" spans="1:9" ht="15.75" x14ac:dyDescent="0.25">
      <c r="A307" s="193">
        <v>3</v>
      </c>
      <c r="B307" s="194"/>
      <c r="C307" s="195"/>
      <c r="D307" s="83" t="s">
        <v>98</v>
      </c>
      <c r="E307" s="69"/>
      <c r="F307" s="70"/>
      <c r="G307" s="81">
        <v>2654</v>
      </c>
      <c r="H307" s="81">
        <f t="shared" ref="H307:H308" si="41">SUM(H306)</f>
        <v>2500</v>
      </c>
      <c r="I307" s="82">
        <f t="shared" si="37"/>
        <v>94.19743782969104</v>
      </c>
    </row>
    <row r="308" spans="1:9" ht="15.75" x14ac:dyDescent="0.25">
      <c r="A308" s="196">
        <v>38</v>
      </c>
      <c r="B308" s="197"/>
      <c r="C308" s="198"/>
      <c r="D308" s="83" t="s">
        <v>137</v>
      </c>
      <c r="E308" s="69"/>
      <c r="F308" s="70"/>
      <c r="G308" s="81">
        <v>2654</v>
      </c>
      <c r="H308" s="81">
        <f t="shared" si="41"/>
        <v>2500</v>
      </c>
      <c r="I308" s="82">
        <f t="shared" si="37"/>
        <v>94.19743782969104</v>
      </c>
    </row>
    <row r="309" spans="1:9" ht="47.25" x14ac:dyDescent="0.25">
      <c r="A309" s="199" t="s">
        <v>240</v>
      </c>
      <c r="B309" s="200"/>
      <c r="C309" s="201"/>
      <c r="D309" s="66" t="s">
        <v>246</v>
      </c>
      <c r="E309" s="68"/>
      <c r="F309" s="49"/>
      <c r="G309" s="67">
        <v>6636</v>
      </c>
      <c r="H309" s="67">
        <v>6000</v>
      </c>
      <c r="I309" s="50">
        <f t="shared" si="37"/>
        <v>90.415913200723324</v>
      </c>
    </row>
    <row r="310" spans="1:9" ht="15.75" x14ac:dyDescent="0.25">
      <c r="A310" s="190" t="s">
        <v>149</v>
      </c>
      <c r="B310" s="191"/>
      <c r="C310" s="192"/>
      <c r="D310" s="80" t="s">
        <v>157</v>
      </c>
      <c r="E310" s="69"/>
      <c r="F310" s="70"/>
      <c r="G310" s="81">
        <v>6636</v>
      </c>
      <c r="H310" s="81">
        <f>H309</f>
        <v>6000</v>
      </c>
      <c r="I310" s="82">
        <f t="shared" si="37"/>
        <v>90.415913200723324</v>
      </c>
    </row>
    <row r="311" spans="1:9" ht="15.75" x14ac:dyDescent="0.25">
      <c r="A311" s="193">
        <v>3</v>
      </c>
      <c r="B311" s="194"/>
      <c r="C311" s="195"/>
      <c r="D311" s="83" t="s">
        <v>98</v>
      </c>
      <c r="E311" s="69"/>
      <c r="F311" s="70"/>
      <c r="G311" s="81">
        <v>6636</v>
      </c>
      <c r="H311" s="81">
        <f t="shared" ref="H311:H312" si="42">H310</f>
        <v>6000</v>
      </c>
      <c r="I311" s="82">
        <f t="shared" si="37"/>
        <v>90.415913200723324</v>
      </c>
    </row>
    <row r="312" spans="1:9" ht="15.75" x14ac:dyDescent="0.25">
      <c r="A312" s="196">
        <v>38</v>
      </c>
      <c r="B312" s="197"/>
      <c r="C312" s="198"/>
      <c r="D312" s="83" t="s">
        <v>137</v>
      </c>
      <c r="E312" s="69"/>
      <c r="F312" s="70"/>
      <c r="G312" s="81">
        <v>6636</v>
      </c>
      <c r="H312" s="81">
        <f t="shared" si="42"/>
        <v>6000</v>
      </c>
      <c r="I312" s="82">
        <f t="shared" si="37"/>
        <v>90.415913200723324</v>
      </c>
    </row>
    <row r="313" spans="1:9" ht="47.25" x14ac:dyDescent="0.25">
      <c r="A313" s="199" t="s">
        <v>247</v>
      </c>
      <c r="B313" s="200"/>
      <c r="C313" s="201"/>
      <c r="D313" s="66" t="s">
        <v>248</v>
      </c>
      <c r="E313" s="68"/>
      <c r="F313" s="49"/>
      <c r="G313" s="67">
        <v>13272</v>
      </c>
      <c r="H313" s="67">
        <v>15000</v>
      </c>
      <c r="I313" s="50">
        <f t="shared" si="37"/>
        <v>113.01989150090417</v>
      </c>
    </row>
    <row r="314" spans="1:9" ht="15.75" x14ac:dyDescent="0.25">
      <c r="A314" s="190" t="s">
        <v>149</v>
      </c>
      <c r="B314" s="191"/>
      <c r="C314" s="192"/>
      <c r="D314" s="80" t="s">
        <v>157</v>
      </c>
      <c r="E314" s="69"/>
      <c r="F314" s="70"/>
      <c r="G314" s="81">
        <v>13272</v>
      </c>
      <c r="H314" s="81">
        <f>SUM(H313)</f>
        <v>15000</v>
      </c>
      <c r="I314" s="82">
        <f t="shared" si="37"/>
        <v>113.01989150090417</v>
      </c>
    </row>
    <row r="315" spans="1:9" ht="15.75" x14ac:dyDescent="0.25">
      <c r="A315" s="193">
        <v>3</v>
      </c>
      <c r="B315" s="194"/>
      <c r="C315" s="195"/>
      <c r="D315" s="83" t="s">
        <v>98</v>
      </c>
      <c r="E315" s="69"/>
      <c r="F315" s="70"/>
      <c r="G315" s="81">
        <v>13272</v>
      </c>
      <c r="H315" s="81">
        <f t="shared" ref="H315:H316" si="43">SUM(H314)</f>
        <v>15000</v>
      </c>
      <c r="I315" s="82">
        <f t="shared" si="37"/>
        <v>113.01989150090417</v>
      </c>
    </row>
    <row r="316" spans="1:9" ht="15.75" x14ac:dyDescent="0.25">
      <c r="A316" s="196">
        <v>38</v>
      </c>
      <c r="B316" s="197"/>
      <c r="C316" s="198"/>
      <c r="D316" s="83" t="s">
        <v>137</v>
      </c>
      <c r="E316" s="69"/>
      <c r="F316" s="70"/>
      <c r="G316" s="81">
        <v>13272</v>
      </c>
      <c r="H316" s="81">
        <f t="shared" si="43"/>
        <v>15000</v>
      </c>
      <c r="I316" s="82">
        <f t="shared" si="37"/>
        <v>113.01989150090417</v>
      </c>
    </row>
    <row r="317" spans="1:9" ht="31.5" x14ac:dyDescent="0.25">
      <c r="A317" s="199" t="s">
        <v>245</v>
      </c>
      <c r="B317" s="200"/>
      <c r="C317" s="201"/>
      <c r="D317" s="66" t="s">
        <v>249</v>
      </c>
      <c r="E317" s="68"/>
      <c r="F317" s="49"/>
      <c r="G317" s="67">
        <v>9291</v>
      </c>
      <c r="H317" s="67">
        <v>13000</v>
      </c>
      <c r="I317" s="50">
        <f t="shared" si="37"/>
        <v>139.92035302981381</v>
      </c>
    </row>
    <row r="318" spans="1:9" ht="15.75" x14ac:dyDescent="0.25">
      <c r="A318" s="190" t="s">
        <v>149</v>
      </c>
      <c r="B318" s="191"/>
      <c r="C318" s="192"/>
      <c r="D318" s="80" t="s">
        <v>157</v>
      </c>
      <c r="E318" s="69"/>
      <c r="F318" s="70"/>
      <c r="G318" s="81">
        <v>9291</v>
      </c>
      <c r="H318" s="81">
        <f>SUM(H317)</f>
        <v>13000</v>
      </c>
      <c r="I318" s="82">
        <f t="shared" si="37"/>
        <v>139.92035302981381</v>
      </c>
    </row>
    <row r="319" spans="1:9" ht="15.75" x14ac:dyDescent="0.25">
      <c r="A319" s="193">
        <v>3</v>
      </c>
      <c r="B319" s="194"/>
      <c r="C319" s="195"/>
      <c r="D319" s="83" t="s">
        <v>98</v>
      </c>
      <c r="E319" s="69"/>
      <c r="F319" s="70"/>
      <c r="G319" s="81">
        <v>9291</v>
      </c>
      <c r="H319" s="81">
        <f t="shared" ref="H319:H320" si="44">SUM(H318)</f>
        <v>13000</v>
      </c>
      <c r="I319" s="82">
        <f t="shared" si="37"/>
        <v>139.92035302981381</v>
      </c>
    </row>
    <row r="320" spans="1:9" ht="15.75" x14ac:dyDescent="0.25">
      <c r="A320" s="196">
        <v>38</v>
      </c>
      <c r="B320" s="197"/>
      <c r="C320" s="198"/>
      <c r="D320" s="83" t="s">
        <v>137</v>
      </c>
      <c r="E320" s="69"/>
      <c r="F320" s="70"/>
      <c r="G320" s="81">
        <v>9291</v>
      </c>
      <c r="H320" s="81">
        <f t="shared" si="44"/>
        <v>13000</v>
      </c>
      <c r="I320" s="82">
        <f t="shared" si="37"/>
        <v>139.92035302981381</v>
      </c>
    </row>
    <row r="321" spans="1:9" ht="63" x14ac:dyDescent="0.25">
      <c r="A321" s="199" t="s">
        <v>250</v>
      </c>
      <c r="B321" s="200"/>
      <c r="C321" s="201"/>
      <c r="D321" s="66" t="s">
        <v>251</v>
      </c>
      <c r="E321" s="68"/>
      <c r="F321" s="49"/>
      <c r="G321" s="67">
        <v>15927</v>
      </c>
      <c r="H321" s="67">
        <v>0</v>
      </c>
      <c r="I321" s="50">
        <f t="shared" si="37"/>
        <v>0</v>
      </c>
    </row>
    <row r="322" spans="1:9" ht="15.75" x14ac:dyDescent="0.25">
      <c r="A322" s="190" t="s">
        <v>144</v>
      </c>
      <c r="B322" s="191"/>
      <c r="C322" s="192"/>
      <c r="D322" s="80" t="s">
        <v>156</v>
      </c>
      <c r="E322" s="69"/>
      <c r="F322" s="70"/>
      <c r="G322" s="81">
        <v>6370.8</v>
      </c>
      <c r="H322" s="81">
        <v>0</v>
      </c>
      <c r="I322" s="82">
        <f t="shared" si="37"/>
        <v>0</v>
      </c>
    </row>
    <row r="323" spans="1:9" ht="15.75" x14ac:dyDescent="0.25">
      <c r="A323" s="193">
        <v>3</v>
      </c>
      <c r="B323" s="194"/>
      <c r="C323" s="195"/>
      <c r="D323" s="83" t="s">
        <v>98</v>
      </c>
      <c r="E323" s="69"/>
      <c r="F323" s="70"/>
      <c r="G323" s="81">
        <v>6370.8</v>
      </c>
      <c r="H323" s="81">
        <v>0</v>
      </c>
      <c r="I323" s="82">
        <f t="shared" si="37"/>
        <v>0</v>
      </c>
    </row>
    <row r="324" spans="1:9" ht="15.75" x14ac:dyDescent="0.25">
      <c r="A324" s="196">
        <v>32</v>
      </c>
      <c r="B324" s="197"/>
      <c r="C324" s="198"/>
      <c r="D324" s="83" t="s">
        <v>106</v>
      </c>
      <c r="E324" s="69"/>
      <c r="F324" s="70"/>
      <c r="G324" s="81">
        <v>6370.8</v>
      </c>
      <c r="H324" s="81">
        <v>0</v>
      </c>
      <c r="I324" s="82">
        <f t="shared" si="37"/>
        <v>0</v>
      </c>
    </row>
    <row r="325" spans="1:9" ht="15.75" x14ac:dyDescent="0.25">
      <c r="A325" s="190" t="s">
        <v>149</v>
      </c>
      <c r="B325" s="191"/>
      <c r="C325" s="192"/>
      <c r="D325" s="80" t="s">
        <v>157</v>
      </c>
      <c r="E325" s="69"/>
      <c r="F325" s="70"/>
      <c r="G325" s="81">
        <v>9556.2000000000007</v>
      </c>
      <c r="H325" s="81">
        <v>0</v>
      </c>
      <c r="I325" s="82">
        <f t="shared" si="37"/>
        <v>0</v>
      </c>
    </row>
    <row r="326" spans="1:9" ht="15.75" x14ac:dyDescent="0.25">
      <c r="A326" s="193">
        <v>3</v>
      </c>
      <c r="B326" s="194"/>
      <c r="C326" s="195"/>
      <c r="D326" s="83" t="s">
        <v>98</v>
      </c>
      <c r="E326" s="69"/>
      <c r="F326" s="70"/>
      <c r="G326" s="81">
        <v>9556.2000000000007</v>
      </c>
      <c r="H326" s="81">
        <v>0</v>
      </c>
      <c r="I326" s="82">
        <f t="shared" si="37"/>
        <v>0</v>
      </c>
    </row>
    <row r="327" spans="1:9" ht="15.75" x14ac:dyDescent="0.25">
      <c r="A327" s="196">
        <v>32</v>
      </c>
      <c r="B327" s="197"/>
      <c r="C327" s="198"/>
      <c r="D327" s="83" t="s">
        <v>158</v>
      </c>
      <c r="E327" s="69"/>
      <c r="F327" s="70"/>
      <c r="G327" s="81">
        <v>9556.2000000000007</v>
      </c>
      <c r="H327" s="81">
        <v>0</v>
      </c>
      <c r="I327" s="82">
        <f t="shared" si="37"/>
        <v>0</v>
      </c>
    </row>
    <row r="328" spans="1:9" ht="47.25" x14ac:dyDescent="0.25">
      <c r="A328" s="202" t="s">
        <v>145</v>
      </c>
      <c r="B328" s="203"/>
      <c r="C328" s="204"/>
      <c r="D328" s="64" t="s">
        <v>252</v>
      </c>
      <c r="E328" s="71"/>
      <c r="F328" s="46"/>
      <c r="G328" s="65">
        <f>SUM(G329,G336,G340)</f>
        <v>63707</v>
      </c>
      <c r="H328" s="65">
        <v>95000</v>
      </c>
      <c r="I328" s="47">
        <f t="shared" ref="I328:I367" si="45">H328/G328*$I$2</f>
        <v>149.12019087384431</v>
      </c>
    </row>
    <row r="329" spans="1:9" ht="25.5" customHeight="1" x14ac:dyDescent="0.25">
      <c r="A329" s="199" t="s">
        <v>146</v>
      </c>
      <c r="B329" s="200"/>
      <c r="C329" s="201"/>
      <c r="D329" s="66" t="s">
        <v>253</v>
      </c>
      <c r="E329" s="68"/>
      <c r="F329" s="49"/>
      <c r="G329" s="67">
        <v>53089</v>
      </c>
      <c r="H329" s="67">
        <v>80000</v>
      </c>
      <c r="I329" s="50">
        <f t="shared" si="45"/>
        <v>150.69035016670119</v>
      </c>
    </row>
    <row r="330" spans="1:9" ht="15.75" x14ac:dyDescent="0.25">
      <c r="A330" s="190" t="s">
        <v>144</v>
      </c>
      <c r="B330" s="191"/>
      <c r="C330" s="192"/>
      <c r="D330" s="80" t="s">
        <v>156</v>
      </c>
      <c r="E330" s="69"/>
      <c r="F330" s="70"/>
      <c r="G330" s="81">
        <v>8525</v>
      </c>
      <c r="H330" s="81">
        <f>H329*0.1</f>
        <v>8000</v>
      </c>
      <c r="I330" s="82">
        <f t="shared" si="45"/>
        <v>93.841642228739005</v>
      </c>
    </row>
    <row r="331" spans="1:9" ht="15.75" x14ac:dyDescent="0.25">
      <c r="A331" s="193">
        <v>3</v>
      </c>
      <c r="B331" s="194"/>
      <c r="C331" s="195"/>
      <c r="D331" s="83" t="s">
        <v>98</v>
      </c>
      <c r="E331" s="69"/>
      <c r="F331" s="70"/>
      <c r="G331" s="81">
        <v>8525</v>
      </c>
      <c r="H331" s="81">
        <f>SUM(H330)</f>
        <v>8000</v>
      </c>
      <c r="I331" s="82">
        <f t="shared" si="45"/>
        <v>93.841642228739005</v>
      </c>
    </row>
    <row r="332" spans="1:9" ht="15.75" x14ac:dyDescent="0.25">
      <c r="A332" s="196">
        <v>38</v>
      </c>
      <c r="B332" s="197"/>
      <c r="C332" s="198"/>
      <c r="D332" s="83" t="s">
        <v>137</v>
      </c>
      <c r="E332" s="69"/>
      <c r="F332" s="70"/>
      <c r="G332" s="81">
        <v>8525</v>
      </c>
      <c r="H332" s="81">
        <f>SUM(H331)</f>
        <v>8000</v>
      </c>
      <c r="I332" s="82">
        <f t="shared" si="45"/>
        <v>93.841642228739005</v>
      </c>
    </row>
    <row r="333" spans="1:9" ht="15.75" x14ac:dyDescent="0.25">
      <c r="A333" s="190" t="s">
        <v>149</v>
      </c>
      <c r="B333" s="191"/>
      <c r="C333" s="192"/>
      <c r="D333" s="80" t="s">
        <v>157</v>
      </c>
      <c r="E333" s="69"/>
      <c r="F333" s="70"/>
      <c r="G333" s="81">
        <f>G329-G330</f>
        <v>44564</v>
      </c>
      <c r="H333" s="81">
        <f>H329-H330</f>
        <v>72000</v>
      </c>
      <c r="I333" s="82">
        <f t="shared" si="45"/>
        <v>161.56538910331207</v>
      </c>
    </row>
    <row r="334" spans="1:9" ht="15.75" x14ac:dyDescent="0.25">
      <c r="A334" s="193">
        <v>3</v>
      </c>
      <c r="B334" s="194"/>
      <c r="C334" s="195"/>
      <c r="D334" s="83" t="s">
        <v>98</v>
      </c>
      <c r="E334" s="69"/>
      <c r="F334" s="70"/>
      <c r="G334" s="81">
        <v>44564</v>
      </c>
      <c r="H334" s="81">
        <f>SUM(H333)</f>
        <v>72000</v>
      </c>
      <c r="I334" s="82">
        <f t="shared" si="45"/>
        <v>161.56538910331207</v>
      </c>
    </row>
    <row r="335" spans="1:9" ht="15.75" x14ac:dyDescent="0.25">
      <c r="A335" s="196">
        <v>38</v>
      </c>
      <c r="B335" s="197"/>
      <c r="C335" s="198"/>
      <c r="D335" s="83" t="s">
        <v>137</v>
      </c>
      <c r="E335" s="69"/>
      <c r="F335" s="70"/>
      <c r="G335" s="81">
        <v>44564</v>
      </c>
      <c r="H335" s="81">
        <f>SUM(H334)</f>
        <v>72000</v>
      </c>
      <c r="I335" s="82">
        <f t="shared" si="45"/>
        <v>161.56538910331207</v>
      </c>
    </row>
    <row r="336" spans="1:9" ht="31.5" x14ac:dyDescent="0.25">
      <c r="A336" s="199" t="s">
        <v>147</v>
      </c>
      <c r="B336" s="200"/>
      <c r="C336" s="201"/>
      <c r="D336" s="66" t="s">
        <v>254</v>
      </c>
      <c r="E336" s="68"/>
      <c r="F336" s="49"/>
      <c r="G336" s="67">
        <v>3982</v>
      </c>
      <c r="H336" s="67">
        <v>7000</v>
      </c>
      <c r="I336" s="50">
        <f t="shared" si="45"/>
        <v>175.79105976896031</v>
      </c>
    </row>
    <row r="337" spans="1:9" ht="15.75" x14ac:dyDescent="0.25">
      <c r="A337" s="190" t="s">
        <v>149</v>
      </c>
      <c r="B337" s="191"/>
      <c r="C337" s="192"/>
      <c r="D337" s="80" t="s">
        <v>157</v>
      </c>
      <c r="E337" s="69"/>
      <c r="F337" s="70"/>
      <c r="G337" s="81">
        <v>3982</v>
      </c>
      <c r="H337" s="81">
        <f>SUM(H336)</f>
        <v>7000</v>
      </c>
      <c r="I337" s="82">
        <f t="shared" si="45"/>
        <v>175.79105976896031</v>
      </c>
    </row>
    <row r="338" spans="1:9" ht="15.75" x14ac:dyDescent="0.25">
      <c r="A338" s="193">
        <v>3</v>
      </c>
      <c r="B338" s="194"/>
      <c r="C338" s="195"/>
      <c r="D338" s="83" t="s">
        <v>98</v>
      </c>
      <c r="E338" s="69"/>
      <c r="F338" s="70"/>
      <c r="G338" s="81">
        <v>3982</v>
      </c>
      <c r="H338" s="81">
        <f t="shared" ref="H338:H339" si="46">SUM(H337)</f>
        <v>7000</v>
      </c>
      <c r="I338" s="82">
        <f t="shared" si="45"/>
        <v>175.79105976896031</v>
      </c>
    </row>
    <row r="339" spans="1:9" ht="15.75" x14ac:dyDescent="0.25">
      <c r="A339" s="196">
        <v>38</v>
      </c>
      <c r="B339" s="197"/>
      <c r="C339" s="198"/>
      <c r="D339" s="83" t="s">
        <v>137</v>
      </c>
      <c r="E339" s="69"/>
      <c r="F339" s="70"/>
      <c r="G339" s="81">
        <v>3982</v>
      </c>
      <c r="H339" s="81">
        <f t="shared" si="46"/>
        <v>7000</v>
      </c>
      <c r="I339" s="82">
        <f t="shared" si="45"/>
        <v>175.79105976896031</v>
      </c>
    </row>
    <row r="340" spans="1:9" ht="15.75" x14ac:dyDescent="0.25">
      <c r="A340" s="199" t="s">
        <v>148</v>
      </c>
      <c r="B340" s="200"/>
      <c r="C340" s="201"/>
      <c r="D340" s="66" t="s">
        <v>255</v>
      </c>
      <c r="E340" s="68"/>
      <c r="F340" s="49"/>
      <c r="G340" s="67">
        <v>6636</v>
      </c>
      <c r="H340" s="67">
        <v>8000</v>
      </c>
      <c r="I340" s="50">
        <f t="shared" si="45"/>
        <v>120.55455093429777</v>
      </c>
    </row>
    <row r="341" spans="1:9" ht="15.75" x14ac:dyDescent="0.25">
      <c r="A341" s="190" t="s">
        <v>149</v>
      </c>
      <c r="B341" s="191"/>
      <c r="C341" s="192"/>
      <c r="D341" s="80" t="s">
        <v>157</v>
      </c>
      <c r="E341" s="69"/>
      <c r="F341" s="70"/>
      <c r="G341" s="81">
        <v>6636</v>
      </c>
      <c r="H341" s="81">
        <f>SUM(H340)</f>
        <v>8000</v>
      </c>
      <c r="I341" s="82">
        <f t="shared" si="45"/>
        <v>120.55455093429777</v>
      </c>
    </row>
    <row r="342" spans="1:9" ht="15.75" x14ac:dyDescent="0.25">
      <c r="A342" s="193">
        <v>3</v>
      </c>
      <c r="B342" s="194"/>
      <c r="C342" s="195"/>
      <c r="D342" s="83" t="s">
        <v>98</v>
      </c>
      <c r="E342" s="69"/>
      <c r="F342" s="70"/>
      <c r="G342" s="81">
        <v>6636</v>
      </c>
      <c r="H342" s="81">
        <f t="shared" ref="H342:H343" si="47">SUM(H341)</f>
        <v>8000</v>
      </c>
      <c r="I342" s="82">
        <f t="shared" si="45"/>
        <v>120.55455093429777</v>
      </c>
    </row>
    <row r="343" spans="1:9" ht="15.75" x14ac:dyDescent="0.25">
      <c r="A343" s="196">
        <v>38</v>
      </c>
      <c r="B343" s="197"/>
      <c r="C343" s="198"/>
      <c r="D343" s="83" t="s">
        <v>137</v>
      </c>
      <c r="E343" s="69"/>
      <c r="F343" s="70"/>
      <c r="G343" s="81">
        <v>6636</v>
      </c>
      <c r="H343" s="81">
        <f t="shared" si="47"/>
        <v>8000</v>
      </c>
      <c r="I343" s="82">
        <f t="shared" si="45"/>
        <v>120.55455093429777</v>
      </c>
    </row>
    <row r="344" spans="1:9" ht="31.5" x14ac:dyDescent="0.25">
      <c r="A344" s="202" t="s">
        <v>259</v>
      </c>
      <c r="B344" s="203"/>
      <c r="C344" s="204"/>
      <c r="D344" s="64" t="s">
        <v>260</v>
      </c>
      <c r="E344" s="71"/>
      <c r="F344" s="46"/>
      <c r="G344" s="65">
        <f>SUM(G345,G349,G353,G360,G364)</f>
        <v>145332</v>
      </c>
      <c r="H344" s="65">
        <f>SUM(H345,H349,H353,H360,H364)</f>
        <v>143500</v>
      </c>
      <c r="I344" s="47">
        <f t="shared" si="45"/>
        <v>98.739437976495196</v>
      </c>
    </row>
    <row r="345" spans="1:9" ht="47.25" x14ac:dyDescent="0.25">
      <c r="A345" s="199" t="s">
        <v>267</v>
      </c>
      <c r="B345" s="200"/>
      <c r="C345" s="201"/>
      <c r="D345" s="66" t="s">
        <v>261</v>
      </c>
      <c r="E345" s="68"/>
      <c r="F345" s="49"/>
      <c r="G345" s="67">
        <v>1327</v>
      </c>
      <c r="H345" s="67">
        <v>2000</v>
      </c>
      <c r="I345" s="50">
        <f t="shared" si="45"/>
        <v>150.71590052750565</v>
      </c>
    </row>
    <row r="346" spans="1:9" ht="15.75" x14ac:dyDescent="0.25">
      <c r="A346" s="190" t="s">
        <v>144</v>
      </c>
      <c r="B346" s="191"/>
      <c r="C346" s="192"/>
      <c r="D346" s="80" t="s">
        <v>156</v>
      </c>
      <c r="E346" s="69"/>
      <c r="F346" s="70"/>
      <c r="G346" s="81">
        <v>1327</v>
      </c>
      <c r="H346" s="81">
        <f>SUM(H345)</f>
        <v>2000</v>
      </c>
      <c r="I346" s="82">
        <f t="shared" si="45"/>
        <v>150.71590052750565</v>
      </c>
    </row>
    <row r="347" spans="1:9" ht="15.75" x14ac:dyDescent="0.25">
      <c r="A347" s="193">
        <v>3</v>
      </c>
      <c r="B347" s="194"/>
      <c r="C347" s="195"/>
      <c r="D347" s="83" t="s">
        <v>98</v>
      </c>
      <c r="E347" s="69"/>
      <c r="F347" s="70"/>
      <c r="G347" s="81">
        <v>1327</v>
      </c>
      <c r="H347" s="81">
        <f t="shared" ref="H347:H348" si="48">SUM(H346)</f>
        <v>2000</v>
      </c>
      <c r="I347" s="82">
        <f t="shared" si="45"/>
        <v>150.71590052750565</v>
      </c>
    </row>
    <row r="348" spans="1:9" ht="15.75" x14ac:dyDescent="0.25">
      <c r="A348" s="196">
        <v>38</v>
      </c>
      <c r="B348" s="197"/>
      <c r="C348" s="198"/>
      <c r="D348" s="83" t="s">
        <v>137</v>
      </c>
      <c r="E348" s="69"/>
      <c r="F348" s="70"/>
      <c r="G348" s="81">
        <v>1327</v>
      </c>
      <c r="H348" s="81">
        <f t="shared" si="48"/>
        <v>2000</v>
      </c>
      <c r="I348" s="82">
        <f t="shared" si="45"/>
        <v>150.71590052750565</v>
      </c>
    </row>
    <row r="349" spans="1:9" ht="47.25" x14ac:dyDescent="0.25">
      <c r="A349" s="199" t="s">
        <v>268</v>
      </c>
      <c r="B349" s="200"/>
      <c r="C349" s="201"/>
      <c r="D349" s="66" t="s">
        <v>262</v>
      </c>
      <c r="E349" s="68"/>
      <c r="F349" s="49"/>
      <c r="G349" s="67">
        <v>9291</v>
      </c>
      <c r="H349" s="67">
        <v>10000</v>
      </c>
      <c r="I349" s="50">
        <f t="shared" si="45"/>
        <v>107.63104079216446</v>
      </c>
    </row>
    <row r="350" spans="1:9" ht="15.75" x14ac:dyDescent="0.25">
      <c r="A350" s="190" t="s">
        <v>144</v>
      </c>
      <c r="B350" s="191"/>
      <c r="C350" s="192"/>
      <c r="D350" s="80" t="s">
        <v>156</v>
      </c>
      <c r="E350" s="69"/>
      <c r="F350" s="70"/>
      <c r="G350" s="81">
        <v>9291</v>
      </c>
      <c r="H350" s="81">
        <f>SUM(H349)</f>
        <v>10000</v>
      </c>
      <c r="I350" s="82">
        <f t="shared" si="45"/>
        <v>107.63104079216446</v>
      </c>
    </row>
    <row r="351" spans="1:9" ht="15.75" x14ac:dyDescent="0.25">
      <c r="A351" s="193">
        <v>3</v>
      </c>
      <c r="B351" s="194"/>
      <c r="C351" s="195"/>
      <c r="D351" s="83" t="s">
        <v>98</v>
      </c>
      <c r="E351" s="69"/>
      <c r="F351" s="70"/>
      <c r="G351" s="81">
        <v>9291</v>
      </c>
      <c r="H351" s="81">
        <f t="shared" ref="H351:H352" si="49">SUM(H350)</f>
        <v>10000</v>
      </c>
      <c r="I351" s="82">
        <f t="shared" si="45"/>
        <v>107.63104079216446</v>
      </c>
    </row>
    <row r="352" spans="1:9" ht="31.5" x14ac:dyDescent="0.25">
      <c r="A352" s="196">
        <v>37</v>
      </c>
      <c r="B352" s="197"/>
      <c r="C352" s="198"/>
      <c r="D352" s="83" t="s">
        <v>263</v>
      </c>
      <c r="E352" s="69"/>
      <c r="F352" s="70"/>
      <c r="G352" s="81">
        <v>9291</v>
      </c>
      <c r="H352" s="81">
        <f t="shared" si="49"/>
        <v>10000</v>
      </c>
      <c r="I352" s="82">
        <f t="shared" si="45"/>
        <v>107.63104079216446</v>
      </c>
    </row>
    <row r="353" spans="1:9" ht="31.5" x14ac:dyDescent="0.25">
      <c r="A353" s="199" t="s">
        <v>269</v>
      </c>
      <c r="B353" s="200"/>
      <c r="C353" s="201"/>
      <c r="D353" s="66" t="s">
        <v>264</v>
      </c>
      <c r="E353" s="68"/>
      <c r="F353" s="49"/>
      <c r="G353" s="67">
        <v>26545</v>
      </c>
      <c r="H353" s="67">
        <f>20000</f>
        <v>20000</v>
      </c>
      <c r="I353" s="50">
        <f t="shared" si="45"/>
        <v>75.343755886230923</v>
      </c>
    </row>
    <row r="354" spans="1:9" ht="15.75" x14ac:dyDescent="0.25">
      <c r="A354" s="190" t="s">
        <v>144</v>
      </c>
      <c r="B354" s="191"/>
      <c r="C354" s="192"/>
      <c r="D354" s="80" t="s">
        <v>156</v>
      </c>
      <c r="E354" s="69"/>
      <c r="F354" s="70"/>
      <c r="G354" s="81">
        <v>4585</v>
      </c>
      <c r="H354" s="81">
        <f>H353*0.2</f>
        <v>4000</v>
      </c>
      <c r="I354" s="82">
        <f t="shared" si="45"/>
        <v>87.241003271537622</v>
      </c>
    </row>
    <row r="355" spans="1:9" ht="15.75" x14ac:dyDescent="0.25">
      <c r="A355" s="193">
        <v>3</v>
      </c>
      <c r="B355" s="194"/>
      <c r="C355" s="195"/>
      <c r="D355" s="83" t="s">
        <v>98</v>
      </c>
      <c r="E355" s="69"/>
      <c r="F355" s="70"/>
      <c r="G355" s="81">
        <v>4585</v>
      </c>
      <c r="H355" s="81">
        <f>SUM(H354)</f>
        <v>4000</v>
      </c>
      <c r="I355" s="82">
        <f t="shared" si="45"/>
        <v>87.241003271537622</v>
      </c>
    </row>
    <row r="356" spans="1:9" ht="31.5" x14ac:dyDescent="0.25">
      <c r="A356" s="196">
        <v>37</v>
      </c>
      <c r="B356" s="197"/>
      <c r="C356" s="198"/>
      <c r="D356" s="83" t="s">
        <v>263</v>
      </c>
      <c r="E356" s="69"/>
      <c r="F356" s="70"/>
      <c r="G356" s="81">
        <v>4585</v>
      </c>
      <c r="H356" s="81">
        <f>SUM(H355)</f>
        <v>4000</v>
      </c>
      <c r="I356" s="82">
        <f t="shared" si="45"/>
        <v>87.241003271537622</v>
      </c>
    </row>
    <row r="357" spans="1:9" ht="15.75" x14ac:dyDescent="0.25">
      <c r="A357" s="190" t="s">
        <v>149</v>
      </c>
      <c r="B357" s="191"/>
      <c r="C357" s="192"/>
      <c r="D357" s="80" t="s">
        <v>157</v>
      </c>
      <c r="E357" s="69"/>
      <c r="F357" s="70"/>
      <c r="G357" s="81">
        <f>G353-G354</f>
        <v>21960</v>
      </c>
      <c r="H357" s="81">
        <f>H353-H354</f>
        <v>16000</v>
      </c>
      <c r="I357" s="82">
        <f t="shared" si="45"/>
        <v>72.859744990892523</v>
      </c>
    </row>
    <row r="358" spans="1:9" ht="15.75" x14ac:dyDescent="0.25">
      <c r="A358" s="193">
        <v>3</v>
      </c>
      <c r="B358" s="194"/>
      <c r="C358" s="195"/>
      <c r="D358" s="83" t="s">
        <v>98</v>
      </c>
      <c r="E358" s="69"/>
      <c r="F358" s="70"/>
      <c r="G358" s="81">
        <v>21960</v>
      </c>
      <c r="H358" s="81">
        <f>SUM(H357)</f>
        <v>16000</v>
      </c>
      <c r="I358" s="82">
        <f t="shared" si="45"/>
        <v>72.859744990892523</v>
      </c>
    </row>
    <row r="359" spans="1:9" ht="31.5" x14ac:dyDescent="0.25">
      <c r="A359" s="196">
        <v>37</v>
      </c>
      <c r="B359" s="197"/>
      <c r="C359" s="198"/>
      <c r="D359" s="83" t="s">
        <v>263</v>
      </c>
      <c r="E359" s="69"/>
      <c r="F359" s="70"/>
      <c r="G359" s="81">
        <v>21960</v>
      </c>
      <c r="H359" s="81">
        <f>SUM(H358)</f>
        <v>16000</v>
      </c>
      <c r="I359" s="82">
        <f t="shared" si="45"/>
        <v>72.859744990892523</v>
      </c>
    </row>
    <row r="360" spans="1:9" ht="47.25" x14ac:dyDescent="0.25">
      <c r="A360" s="199" t="s">
        <v>270</v>
      </c>
      <c r="B360" s="200"/>
      <c r="C360" s="201"/>
      <c r="D360" s="66" t="s">
        <v>265</v>
      </c>
      <c r="E360" s="68"/>
      <c r="F360" s="49"/>
      <c r="G360" s="67">
        <v>106178</v>
      </c>
      <c r="H360" s="67">
        <v>108000</v>
      </c>
      <c r="I360" s="50">
        <f t="shared" si="45"/>
        <v>101.7159863625233</v>
      </c>
    </row>
    <row r="361" spans="1:9" ht="15.75" x14ac:dyDescent="0.25">
      <c r="A361" s="190" t="s">
        <v>149</v>
      </c>
      <c r="B361" s="191"/>
      <c r="C361" s="192"/>
      <c r="D361" s="80" t="s">
        <v>157</v>
      </c>
      <c r="E361" s="69"/>
      <c r="F361" s="70"/>
      <c r="G361" s="81">
        <v>106178</v>
      </c>
      <c r="H361" s="81">
        <f>SUM(H360)</f>
        <v>108000</v>
      </c>
      <c r="I361" s="82">
        <f t="shared" si="45"/>
        <v>101.7159863625233</v>
      </c>
    </row>
    <row r="362" spans="1:9" ht="15.75" x14ac:dyDescent="0.25">
      <c r="A362" s="193">
        <v>3</v>
      </c>
      <c r="B362" s="194"/>
      <c r="C362" s="195"/>
      <c r="D362" s="83" t="s">
        <v>98</v>
      </c>
      <c r="E362" s="69"/>
      <c r="F362" s="70"/>
      <c r="G362" s="81">
        <v>106178</v>
      </c>
      <c r="H362" s="81">
        <f t="shared" ref="H362:H363" si="50">SUM(H361)</f>
        <v>108000</v>
      </c>
      <c r="I362" s="82">
        <f t="shared" si="45"/>
        <v>101.7159863625233</v>
      </c>
    </row>
    <row r="363" spans="1:9" ht="31.5" x14ac:dyDescent="0.25">
      <c r="A363" s="196">
        <v>37</v>
      </c>
      <c r="B363" s="197"/>
      <c r="C363" s="198"/>
      <c r="D363" s="83" t="s">
        <v>263</v>
      </c>
      <c r="E363" s="69"/>
      <c r="F363" s="70"/>
      <c r="G363" s="81">
        <v>106178</v>
      </c>
      <c r="H363" s="81">
        <f t="shared" si="50"/>
        <v>108000</v>
      </c>
      <c r="I363" s="82">
        <f t="shared" si="45"/>
        <v>101.7159863625233</v>
      </c>
    </row>
    <row r="364" spans="1:9" ht="25.5" customHeight="1" x14ac:dyDescent="0.25">
      <c r="A364" s="199" t="s">
        <v>271</v>
      </c>
      <c r="B364" s="200"/>
      <c r="C364" s="201"/>
      <c r="D364" s="66" t="s">
        <v>266</v>
      </c>
      <c r="E364" s="68"/>
      <c r="F364" s="49"/>
      <c r="G364" s="67">
        <v>1991</v>
      </c>
      <c r="H364" s="67">
        <v>3500</v>
      </c>
      <c r="I364" s="50">
        <f t="shared" si="45"/>
        <v>175.79105976896031</v>
      </c>
    </row>
    <row r="365" spans="1:9" ht="15.75" x14ac:dyDescent="0.25">
      <c r="A365" s="190" t="s">
        <v>144</v>
      </c>
      <c r="B365" s="191"/>
      <c r="C365" s="192"/>
      <c r="D365" s="80" t="s">
        <v>156</v>
      </c>
      <c r="E365" s="69"/>
      <c r="F365" s="70"/>
      <c r="G365" s="81">
        <v>1991</v>
      </c>
      <c r="H365" s="81">
        <f>SUM(H364)</f>
        <v>3500</v>
      </c>
      <c r="I365" s="82">
        <f t="shared" si="45"/>
        <v>175.79105976896031</v>
      </c>
    </row>
    <row r="366" spans="1:9" ht="15.75" x14ac:dyDescent="0.25">
      <c r="A366" s="193">
        <v>3</v>
      </c>
      <c r="B366" s="194"/>
      <c r="C366" s="195"/>
      <c r="D366" s="83" t="s">
        <v>98</v>
      </c>
      <c r="E366" s="69"/>
      <c r="F366" s="70"/>
      <c r="G366" s="81">
        <v>1991</v>
      </c>
      <c r="H366" s="81">
        <f t="shared" ref="H366:H367" si="51">SUM(H365)</f>
        <v>3500</v>
      </c>
      <c r="I366" s="82">
        <f t="shared" si="45"/>
        <v>175.79105976896031</v>
      </c>
    </row>
    <row r="367" spans="1:9" ht="15.75" x14ac:dyDescent="0.25">
      <c r="A367" s="196">
        <v>38</v>
      </c>
      <c r="B367" s="197"/>
      <c r="C367" s="198"/>
      <c r="D367" s="83" t="s">
        <v>137</v>
      </c>
      <c r="E367" s="69"/>
      <c r="F367" s="70"/>
      <c r="G367" s="81">
        <v>1991</v>
      </c>
      <c r="H367" s="81">
        <f t="shared" si="51"/>
        <v>3500</v>
      </c>
      <c r="I367" s="82">
        <f t="shared" si="45"/>
        <v>175.79105976896031</v>
      </c>
    </row>
    <row r="368" spans="1:9" ht="15.75" x14ac:dyDescent="0.25">
      <c r="A368" s="230"/>
      <c r="B368" s="230"/>
      <c r="C368" s="230"/>
      <c r="D368" s="72"/>
      <c r="E368" s="84"/>
      <c r="F368" s="84"/>
      <c r="G368" s="85"/>
      <c r="H368" s="85"/>
      <c r="I368" s="85"/>
    </row>
    <row r="369" spans="1:9" ht="15" customHeight="1" x14ac:dyDescent="0.25">
      <c r="A369" s="231" t="s">
        <v>289</v>
      </c>
      <c r="B369" s="231"/>
      <c r="C369" s="231"/>
      <c r="D369" s="72"/>
      <c r="E369" s="84"/>
      <c r="F369" s="84"/>
      <c r="G369" s="85"/>
      <c r="H369" s="234"/>
      <c r="I369" s="234"/>
    </row>
    <row r="370" spans="1:9" ht="15.75" x14ac:dyDescent="0.25">
      <c r="A370" s="231" t="s">
        <v>284</v>
      </c>
      <c r="B370" s="231"/>
      <c r="C370" s="231"/>
      <c r="D370" s="86"/>
      <c r="E370" s="84"/>
      <c r="F370" s="84"/>
      <c r="G370" s="85"/>
      <c r="H370" s="234" t="s">
        <v>292</v>
      </c>
      <c r="I370" s="234"/>
    </row>
    <row r="371" spans="1:9" ht="15.75" x14ac:dyDescent="0.25">
      <c r="A371" s="231" t="s">
        <v>290</v>
      </c>
      <c r="B371" s="231"/>
      <c r="C371" s="231"/>
      <c r="D371" s="72"/>
      <c r="E371" s="84"/>
      <c r="F371" s="84"/>
      <c r="G371" s="85"/>
      <c r="H371" s="85" t="s">
        <v>293</v>
      </c>
      <c r="I371" s="87"/>
    </row>
    <row r="372" spans="1:9" x14ac:dyDescent="0.25">
      <c r="A372" s="229"/>
      <c r="B372" s="229"/>
      <c r="C372" s="229"/>
      <c r="D372" s="6"/>
      <c r="E372" s="5"/>
      <c r="F372" s="5"/>
      <c r="G372" s="7"/>
      <c r="H372" s="235" t="s">
        <v>291</v>
      </c>
      <c r="I372" s="9"/>
    </row>
    <row r="373" spans="1:9" x14ac:dyDescent="0.25">
      <c r="A373" s="232"/>
      <c r="B373" s="232"/>
      <c r="C373" s="232"/>
      <c r="D373" s="8"/>
      <c r="E373" s="5"/>
      <c r="F373" s="5"/>
      <c r="G373" s="7"/>
      <c r="H373" s="7"/>
      <c r="I373" s="9"/>
    </row>
    <row r="374" spans="1:9" x14ac:dyDescent="0.25">
      <c r="A374" s="233"/>
      <c r="B374" s="233"/>
      <c r="C374" s="233"/>
      <c r="D374" s="6"/>
      <c r="E374" s="5"/>
      <c r="F374" s="5"/>
      <c r="G374" s="7"/>
      <c r="H374" s="7"/>
      <c r="I374" s="9"/>
    </row>
    <row r="375" spans="1:9" x14ac:dyDescent="0.25">
      <c r="A375" s="229"/>
      <c r="B375" s="229"/>
      <c r="C375" s="229"/>
      <c r="D375" s="6"/>
      <c r="E375" s="5"/>
      <c r="F375" s="5"/>
      <c r="G375" s="7"/>
      <c r="H375" s="7"/>
      <c r="I375" s="9"/>
    </row>
  </sheetData>
  <mergeCells count="374">
    <mergeCell ref="A293:C293"/>
    <mergeCell ref="A297:C297"/>
    <mergeCell ref="A299:C299"/>
    <mergeCell ref="A130:C130"/>
    <mergeCell ref="A131:C131"/>
    <mergeCell ref="A132:C132"/>
    <mergeCell ref="A137:C137"/>
    <mergeCell ref="A138:C138"/>
    <mergeCell ref="A139:C139"/>
    <mergeCell ref="A168:C168"/>
    <mergeCell ref="A169:C169"/>
    <mergeCell ref="A170:C170"/>
    <mergeCell ref="A144:C144"/>
    <mergeCell ref="A145:C145"/>
    <mergeCell ref="A146:C146"/>
    <mergeCell ref="A236:C236"/>
    <mergeCell ref="A288:C288"/>
    <mergeCell ref="A232:C232"/>
    <mergeCell ref="A233:C233"/>
    <mergeCell ref="A234:C234"/>
    <mergeCell ref="A225:C225"/>
    <mergeCell ref="A278:C278"/>
    <mergeCell ref="A298:C298"/>
    <mergeCell ref="A281:C281"/>
    <mergeCell ref="H369:I369"/>
    <mergeCell ref="H370:I370"/>
    <mergeCell ref="A309:C309"/>
    <mergeCell ref="A310:C310"/>
    <mergeCell ref="A305:C305"/>
    <mergeCell ref="A302:C302"/>
    <mergeCell ref="A303:C303"/>
    <mergeCell ref="A304:C304"/>
    <mergeCell ref="A307:C307"/>
    <mergeCell ref="A308:C308"/>
    <mergeCell ref="A328:C328"/>
    <mergeCell ref="A329:C329"/>
    <mergeCell ref="A333:C333"/>
    <mergeCell ref="A334:C334"/>
    <mergeCell ref="A335:C335"/>
    <mergeCell ref="A336:C336"/>
    <mergeCell ref="A337:C337"/>
    <mergeCell ref="A338:C338"/>
    <mergeCell ref="A339:C339"/>
    <mergeCell ref="A340:C340"/>
    <mergeCell ref="A318:C318"/>
    <mergeCell ref="A319:C319"/>
    <mergeCell ref="A345:C345"/>
    <mergeCell ref="A359:C359"/>
    <mergeCell ref="A282:C282"/>
    <mergeCell ref="A283:C283"/>
    <mergeCell ref="A284:C284"/>
    <mergeCell ref="A274:C274"/>
    <mergeCell ref="A276:C276"/>
    <mergeCell ref="A277:C277"/>
    <mergeCell ref="A250:C250"/>
    <mergeCell ref="A251:C251"/>
    <mergeCell ref="A261:C261"/>
    <mergeCell ref="A262:C262"/>
    <mergeCell ref="A263:C263"/>
    <mergeCell ref="A289:C289"/>
    <mergeCell ref="A291:C291"/>
    <mergeCell ref="A292:C292"/>
    <mergeCell ref="A290:C290"/>
    <mergeCell ref="A219:C219"/>
    <mergeCell ref="A178:C178"/>
    <mergeCell ref="A179:C179"/>
    <mergeCell ref="A180:C180"/>
    <mergeCell ref="A181:C181"/>
    <mergeCell ref="A182:C182"/>
    <mergeCell ref="A186:C186"/>
    <mergeCell ref="A187:C187"/>
    <mergeCell ref="A215:C215"/>
    <mergeCell ref="A216:C216"/>
    <mergeCell ref="A217:C217"/>
    <mergeCell ref="A237:C237"/>
    <mergeCell ref="A238:C238"/>
    <mergeCell ref="A247:C247"/>
    <mergeCell ref="A248:C248"/>
    <mergeCell ref="A240:C240"/>
    <mergeCell ref="A241:C241"/>
    <mergeCell ref="A242:C242"/>
    <mergeCell ref="A249:C249"/>
    <mergeCell ref="A253:C253"/>
    <mergeCell ref="A157:C157"/>
    <mergeCell ref="A158:C158"/>
    <mergeCell ref="A212:C212"/>
    <mergeCell ref="A213:C213"/>
    <mergeCell ref="A208:C208"/>
    <mergeCell ref="A192:C192"/>
    <mergeCell ref="A209:C209"/>
    <mergeCell ref="A210:C210"/>
    <mergeCell ref="A183:C183"/>
    <mergeCell ref="A184:C184"/>
    <mergeCell ref="A185:C185"/>
    <mergeCell ref="A202:C202"/>
    <mergeCell ref="A203:C203"/>
    <mergeCell ref="A133:C133"/>
    <mergeCell ref="A151:C151"/>
    <mergeCell ref="A188:C188"/>
    <mergeCell ref="A167:C167"/>
    <mergeCell ref="A171:C171"/>
    <mergeCell ref="A172:C172"/>
    <mergeCell ref="A173:C173"/>
    <mergeCell ref="A174:C174"/>
    <mergeCell ref="A175:C175"/>
    <mergeCell ref="A176:C176"/>
    <mergeCell ref="A177:C177"/>
    <mergeCell ref="A155:C155"/>
    <mergeCell ref="A152:C152"/>
    <mergeCell ref="A134:C134"/>
    <mergeCell ref="A153:C153"/>
    <mergeCell ref="A154:C154"/>
    <mergeCell ref="A141:C141"/>
    <mergeCell ref="A142:C142"/>
    <mergeCell ref="A143:C143"/>
    <mergeCell ref="A147:C147"/>
    <mergeCell ref="A148:C148"/>
    <mergeCell ref="A149:C149"/>
    <mergeCell ref="A150:C150"/>
    <mergeCell ref="A156:C156"/>
    <mergeCell ref="A59:C59"/>
    <mergeCell ref="A57:C57"/>
    <mergeCell ref="A62:C62"/>
    <mergeCell ref="A66:C66"/>
    <mergeCell ref="A67:C67"/>
    <mergeCell ref="A58:C58"/>
    <mergeCell ref="A55:C55"/>
    <mergeCell ref="A56:C56"/>
    <mergeCell ref="A39:C39"/>
    <mergeCell ref="A41:C41"/>
    <mergeCell ref="A42:C42"/>
    <mergeCell ref="A43:C43"/>
    <mergeCell ref="A44:C44"/>
    <mergeCell ref="A49:C49"/>
    <mergeCell ref="A50:C50"/>
    <mergeCell ref="A53:C53"/>
    <mergeCell ref="A54:C54"/>
    <mergeCell ref="A51:C51"/>
    <mergeCell ref="A52:C52"/>
    <mergeCell ref="A63:C63"/>
    <mergeCell ref="A64:C64"/>
    <mergeCell ref="A65:C65"/>
    <mergeCell ref="A31:C31"/>
    <mergeCell ref="A37:C37"/>
    <mergeCell ref="A38:C38"/>
    <mergeCell ref="A28:C28"/>
    <mergeCell ref="A29:C29"/>
    <mergeCell ref="A30:C30"/>
    <mergeCell ref="A35:C35"/>
    <mergeCell ref="A36:C36"/>
    <mergeCell ref="A33:C33"/>
    <mergeCell ref="A34:C34"/>
    <mergeCell ref="A32:C32"/>
    <mergeCell ref="A375:C375"/>
    <mergeCell ref="A368:C368"/>
    <mergeCell ref="A369:C369"/>
    <mergeCell ref="A370:C370"/>
    <mergeCell ref="A371:C371"/>
    <mergeCell ref="A373:C373"/>
    <mergeCell ref="A374:C374"/>
    <mergeCell ref="A306:C306"/>
    <mergeCell ref="A372:C372"/>
    <mergeCell ref="A364:C364"/>
    <mergeCell ref="A365:C365"/>
    <mergeCell ref="A366:C366"/>
    <mergeCell ref="A367:C367"/>
    <mergeCell ref="A311:C311"/>
    <mergeCell ref="A320:C320"/>
    <mergeCell ref="A321:C321"/>
    <mergeCell ref="A322:C322"/>
    <mergeCell ref="A323:C323"/>
    <mergeCell ref="A324:C324"/>
    <mergeCell ref="A325:C325"/>
    <mergeCell ref="A326:C326"/>
    <mergeCell ref="A327:C327"/>
    <mergeCell ref="A316:C316"/>
    <mergeCell ref="A317:C317"/>
    <mergeCell ref="A73:C73"/>
    <mergeCell ref="A74:C74"/>
    <mergeCell ref="A75:C75"/>
    <mergeCell ref="A76:C76"/>
    <mergeCell ref="A77:C77"/>
    <mergeCell ref="A301:C301"/>
    <mergeCell ref="A23:C23"/>
    <mergeCell ref="A24:C24"/>
    <mergeCell ref="A207:C207"/>
    <mergeCell ref="A211:C211"/>
    <mergeCell ref="A193:C193"/>
    <mergeCell ref="A197:C197"/>
    <mergeCell ref="A198:C198"/>
    <mergeCell ref="A199:C199"/>
    <mergeCell ref="A200:C200"/>
    <mergeCell ref="A25:C25"/>
    <mergeCell ref="A26:C26"/>
    <mergeCell ref="A27:C27"/>
    <mergeCell ref="A82:C82"/>
    <mergeCell ref="A40:C40"/>
    <mergeCell ref="A60:C60"/>
    <mergeCell ref="A223:C223"/>
    <mergeCell ref="A220:C220"/>
    <mergeCell ref="A61:C61"/>
    <mergeCell ref="A95:C95"/>
    <mergeCell ref="A96:C96"/>
    <mergeCell ref="A97:C97"/>
    <mergeCell ref="A226:C226"/>
    <mergeCell ref="A227:C227"/>
    <mergeCell ref="A228:C228"/>
    <mergeCell ref="A235:C235"/>
    <mergeCell ref="A135:C135"/>
    <mergeCell ref="A136:C136"/>
    <mergeCell ref="A99:C99"/>
    <mergeCell ref="A100:C100"/>
    <mergeCell ref="A101:C101"/>
    <mergeCell ref="A107:C107"/>
    <mergeCell ref="A105:C105"/>
    <mergeCell ref="A106:C106"/>
    <mergeCell ref="A114:C114"/>
    <mergeCell ref="A128:C128"/>
    <mergeCell ref="A129:C129"/>
    <mergeCell ref="A115:C115"/>
    <mergeCell ref="A116:C116"/>
    <mergeCell ref="A117:C117"/>
    <mergeCell ref="A127:C127"/>
    <mergeCell ref="A113:C113"/>
    <mergeCell ref="A126:C126"/>
    <mergeCell ref="A68:C68"/>
    <mergeCell ref="A140:C140"/>
    <mergeCell ref="A69:C69"/>
    <mergeCell ref="A70:C70"/>
    <mergeCell ref="A71:C71"/>
    <mergeCell ref="A72:C72"/>
    <mergeCell ref="A287:C287"/>
    <mergeCell ref="A254:C254"/>
    <mergeCell ref="A255:C255"/>
    <mergeCell ref="A256:C256"/>
    <mergeCell ref="A260:C260"/>
    <mergeCell ref="A224:C224"/>
    <mergeCell ref="A244:C244"/>
    <mergeCell ref="A245:C245"/>
    <mergeCell ref="A246:C246"/>
    <mergeCell ref="A279:C279"/>
    <mergeCell ref="A229:C229"/>
    <mergeCell ref="A230:C230"/>
    <mergeCell ref="A231:C231"/>
    <mergeCell ref="A98:C98"/>
    <mergeCell ref="A102:C102"/>
    <mergeCell ref="A110:C110"/>
    <mergeCell ref="A111:C111"/>
    <mergeCell ref="A112:C112"/>
    <mergeCell ref="A121:C121"/>
    <mergeCell ref="A125:C125"/>
    <mergeCell ref="A108:C108"/>
    <mergeCell ref="A109:C109"/>
    <mergeCell ref="A119:C119"/>
    <mergeCell ref="A120:C120"/>
    <mergeCell ref="A122:C122"/>
    <mergeCell ref="A123:C123"/>
    <mergeCell ref="A124:C124"/>
    <mergeCell ref="A118:C118"/>
    <mergeCell ref="A18:C18"/>
    <mergeCell ref="A19:C19"/>
    <mergeCell ref="A20:C20"/>
    <mergeCell ref="A21:C21"/>
    <mergeCell ref="A22:C22"/>
    <mergeCell ref="A14:C14"/>
    <mergeCell ref="A15:C15"/>
    <mergeCell ref="A16:C16"/>
    <mergeCell ref="A13:C13"/>
    <mergeCell ref="A17:C17"/>
    <mergeCell ref="A1:I1"/>
    <mergeCell ref="A3:I3"/>
    <mergeCell ref="A5:C5"/>
    <mergeCell ref="A11:C11"/>
    <mergeCell ref="A12:C12"/>
    <mergeCell ref="A204:C204"/>
    <mergeCell ref="A205:C205"/>
    <mergeCell ref="A206:C206"/>
    <mergeCell ref="A159:C159"/>
    <mergeCell ref="A160:C160"/>
    <mergeCell ref="A161:C161"/>
    <mergeCell ref="A162:C162"/>
    <mergeCell ref="A163:C163"/>
    <mergeCell ref="A164:C164"/>
    <mergeCell ref="A165:C165"/>
    <mergeCell ref="A166:C166"/>
    <mergeCell ref="A45:C45"/>
    <mergeCell ref="A46:C46"/>
    <mergeCell ref="A47:C47"/>
    <mergeCell ref="A48:C48"/>
    <mergeCell ref="A7:C7"/>
    <mergeCell ref="A8:C8"/>
    <mergeCell ref="A9:C9"/>
    <mergeCell ref="A10:C10"/>
    <mergeCell ref="A78:C78"/>
    <mergeCell ref="A79:C79"/>
    <mergeCell ref="A84:C84"/>
    <mergeCell ref="A85:C85"/>
    <mergeCell ref="A94:C94"/>
    <mergeCell ref="A194:C194"/>
    <mergeCell ref="A195:C195"/>
    <mergeCell ref="A196:C196"/>
    <mergeCell ref="A80:C80"/>
    <mergeCell ref="A90:C90"/>
    <mergeCell ref="A91:C91"/>
    <mergeCell ref="A92:C92"/>
    <mergeCell ref="A93:C93"/>
    <mergeCell ref="A86:C86"/>
    <mergeCell ref="A189:C189"/>
    <mergeCell ref="A190:C190"/>
    <mergeCell ref="A191:C191"/>
    <mergeCell ref="A87:C87"/>
    <mergeCell ref="A88:C88"/>
    <mergeCell ref="A89:C89"/>
    <mergeCell ref="A83:C83"/>
    <mergeCell ref="A81:C81"/>
    <mergeCell ref="A103:C103"/>
    <mergeCell ref="A104:C104"/>
    <mergeCell ref="A239:C239"/>
    <mergeCell ref="A243:C243"/>
    <mergeCell ref="A266:C266"/>
    <mergeCell ref="A257:C257"/>
    <mergeCell ref="A258:C258"/>
    <mergeCell ref="A259:C259"/>
    <mergeCell ref="A252:C252"/>
    <mergeCell ref="A264:C264"/>
    <mergeCell ref="A265:C265"/>
    <mergeCell ref="A222:C222"/>
    <mergeCell ref="A201:C201"/>
    <mergeCell ref="A221:C221"/>
    <mergeCell ref="A214:C214"/>
    <mergeCell ref="A218:C218"/>
    <mergeCell ref="A349:C349"/>
    <mergeCell ref="A267:C267"/>
    <mergeCell ref="A268:C268"/>
    <mergeCell ref="A269:C269"/>
    <mergeCell ref="A270:C270"/>
    <mergeCell ref="A271:C271"/>
    <mergeCell ref="A272:C272"/>
    <mergeCell ref="A273:C273"/>
    <mergeCell ref="A275:C275"/>
    <mergeCell ref="A344:C344"/>
    <mergeCell ref="A346:C346"/>
    <mergeCell ref="A347:C347"/>
    <mergeCell ref="A348:C348"/>
    <mergeCell ref="A341:C341"/>
    <mergeCell ref="A342:C342"/>
    <mergeCell ref="A343:C343"/>
    <mergeCell ref="A300:C300"/>
    <mergeCell ref="A312:C312"/>
    <mergeCell ref="A313:C313"/>
    <mergeCell ref="A314:C314"/>
    <mergeCell ref="A315:C315"/>
    <mergeCell ref="A280:C280"/>
    <mergeCell ref="A285:C285"/>
    <mergeCell ref="A286:C286"/>
    <mergeCell ref="A361:C361"/>
    <mergeCell ref="A362:C362"/>
    <mergeCell ref="A363:C363"/>
    <mergeCell ref="A350:C350"/>
    <mergeCell ref="A351:C351"/>
    <mergeCell ref="A352:C352"/>
    <mergeCell ref="A353:C353"/>
    <mergeCell ref="A357:C357"/>
    <mergeCell ref="A358:C358"/>
    <mergeCell ref="A360:C360"/>
    <mergeCell ref="A354:C354"/>
    <mergeCell ref="A355:C355"/>
    <mergeCell ref="A356:C356"/>
    <mergeCell ref="A330:C330"/>
    <mergeCell ref="A331:C331"/>
    <mergeCell ref="A332:C332"/>
    <mergeCell ref="A294:C294"/>
    <mergeCell ref="A295:C295"/>
    <mergeCell ref="A296:C29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rstPageNumber="5" orientation="portrait" useFirstPageNumber="1" r:id="rId1"/>
  <rowBreaks count="4" manualBreakCount="4">
    <brk id="52" max="12" man="1"/>
    <brk id="127" max="12" man="1"/>
    <brk id="210" max="12" man="1"/>
    <brk id="28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SAŽETAK</vt:lpstr>
      <vt:lpstr> Račun prihoda i rashoda</vt:lpstr>
      <vt:lpstr>Račun financiranja</vt:lpstr>
      <vt:lpstr>Rashodi prema funkcijskoj kl</vt:lpstr>
      <vt:lpstr>POSEBNI DIO</vt:lpstr>
      <vt:lpstr>'POSEBNI DIO'!Podrucje_ispisa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2023-11-27T08:14:58Z</cp:lastPrinted>
  <dcterms:created xsi:type="dcterms:W3CDTF">2022-08-12T12:51:27Z</dcterms:created>
  <dcterms:modified xsi:type="dcterms:W3CDTF">2024-01-03T07:22:50Z</dcterms:modified>
</cp:coreProperties>
</file>